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User\Desktop\JOEL\La FA\Vidéos\Avant 2027\Elections\"/>
    </mc:Choice>
  </mc:AlternateContent>
  <xr:revisionPtr revIDLastSave="0" documentId="13_ncr:1_{5181340E-BCCD-4870-9608-FDA95CE944E3}" xr6:coauthVersionLast="47" xr6:coauthVersionMax="47" xr10:uidLastSave="{00000000-0000-0000-0000-000000000000}"/>
  <bookViews>
    <workbookView xWindow="-120" yWindow="-120" windowWidth="19440" windowHeight="11640" activeTab="1" xr2:uid="{00000000-000D-0000-FFFF-FFFF00000000}"/>
  </bookViews>
  <sheets>
    <sheet name="Scrutin habituel" sheetId="1" r:id="rId1"/>
    <sheet name="Proposition" sheetId="2" r:id="rId2"/>
    <sheet name="Test 1995" sheetId="3" r:id="rId3"/>
    <sheet name="Test 2002" sheetId="4" r:id="rId4"/>
    <sheet name="Test 2007" sheetId="5" r:id="rId5"/>
    <sheet name="Test 2012" sheetId="6" r:id="rId6"/>
    <sheet name="Test 2017"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 i="1" l="1"/>
  <c r="M2" i="1"/>
  <c r="L3" i="1"/>
  <c r="L2" i="1"/>
  <c r="Y15" i="2"/>
  <c r="Y13" i="2"/>
  <c r="Y12" i="2"/>
  <c r="Y11" i="2"/>
  <c r="Y10" i="2"/>
  <c r="Y9" i="2"/>
  <c r="Y8" i="2"/>
  <c r="Y7" i="2"/>
  <c r="Y6" i="2"/>
  <c r="Y5" i="2"/>
  <c r="Y4" i="2"/>
  <c r="E15" i="1"/>
  <c r="L57" i="2"/>
  <c r="AC27" i="2"/>
  <c r="F9" i="1"/>
  <c r="F5" i="1"/>
  <c r="C43" i="2"/>
  <c r="C44" i="2"/>
  <c r="C45" i="2"/>
  <c r="C46" i="2"/>
  <c r="C47" i="2"/>
  <c r="C48" i="2"/>
  <c r="C49" i="2"/>
  <c r="C50" i="2"/>
  <c r="C51" i="2"/>
  <c r="C52" i="2"/>
  <c r="C53" i="2"/>
  <c r="C54" i="2"/>
  <c r="C42" i="2"/>
  <c r="L58" i="2"/>
  <c r="F2" i="1"/>
  <c r="Y3" i="3"/>
  <c r="AA30" i="2"/>
  <c r="Z28" i="2"/>
  <c r="AI53" i="2"/>
  <c r="AH53" i="2"/>
  <c r="AG53" i="2"/>
  <c r="AF53" i="2"/>
  <c r="AE53" i="2"/>
  <c r="AD53" i="2"/>
  <c r="AC53" i="2"/>
  <c r="AB53" i="2"/>
  <c r="AA53" i="2"/>
  <c r="Z53" i="2"/>
  <c r="Y53" i="2"/>
  <c r="AH52" i="2"/>
  <c r="AG52" i="2"/>
  <c r="AF52" i="2"/>
  <c r="AE52" i="2"/>
  <c r="AD52" i="2"/>
  <c r="AC52" i="2"/>
  <c r="AB52" i="2"/>
  <c r="AA52" i="2"/>
  <c r="Z52" i="2"/>
  <c r="Y52" i="2"/>
  <c r="AG51" i="2"/>
  <c r="AF51" i="2"/>
  <c r="AE51" i="2"/>
  <c r="AD51" i="2"/>
  <c r="AC51" i="2"/>
  <c r="AB51" i="2"/>
  <c r="AA51" i="2"/>
  <c r="Z51" i="2"/>
  <c r="Y51" i="2"/>
  <c r="AF50" i="2"/>
  <c r="AE50" i="2"/>
  <c r="AD50" i="2"/>
  <c r="AC50" i="2"/>
  <c r="AB50" i="2"/>
  <c r="AA50" i="2"/>
  <c r="Z50" i="2"/>
  <c r="Y50" i="2"/>
  <c r="AE49" i="2"/>
  <c r="AD49" i="2"/>
  <c r="AC49" i="2"/>
  <c r="AB49" i="2"/>
  <c r="AA49" i="2"/>
  <c r="Z49" i="2"/>
  <c r="Y49" i="2"/>
  <c r="AD48" i="2"/>
  <c r="AC48" i="2"/>
  <c r="AB48" i="2"/>
  <c r="AA48" i="2"/>
  <c r="Z48" i="2"/>
  <c r="Y48" i="2"/>
  <c r="AC47" i="2"/>
  <c r="AB47" i="2"/>
  <c r="AA47" i="2"/>
  <c r="Z47" i="2"/>
  <c r="Y47" i="2"/>
  <c r="AB46" i="2"/>
  <c r="AA46" i="2"/>
  <c r="Z46" i="2"/>
  <c r="Y46" i="2"/>
  <c r="AA45" i="2"/>
  <c r="Z45" i="2"/>
  <c r="Y45" i="2"/>
  <c r="Z44" i="2"/>
  <c r="Y44" i="2"/>
  <c r="AE43" i="2"/>
  <c r="Y43" i="2"/>
  <c r="AJ42" i="2"/>
  <c r="AI42" i="2"/>
  <c r="AH42" i="2"/>
  <c r="AG42" i="2"/>
  <c r="AF42" i="2"/>
  <c r="AE42" i="2"/>
  <c r="AD42" i="2"/>
  <c r="AC42" i="2"/>
  <c r="AB42" i="2"/>
  <c r="AA42" i="2"/>
  <c r="Z42" i="2"/>
  <c r="AJ32" i="2"/>
  <c r="AJ25" i="2"/>
  <c r="AH36" i="2"/>
  <c r="AH35" i="2"/>
  <c r="AH25" i="2"/>
  <c r="AD36" i="2"/>
  <c r="AD35" i="2"/>
  <c r="AD34" i="2"/>
  <c r="AD33" i="2"/>
  <c r="AD32" i="2"/>
  <c r="AD31" i="2"/>
  <c r="AD25" i="2"/>
  <c r="AA36" i="2"/>
  <c r="AA35" i="2"/>
  <c r="AA34" i="2"/>
  <c r="AA33" i="2"/>
  <c r="AA32" i="2"/>
  <c r="AA31" i="2"/>
  <c r="AA29" i="2"/>
  <c r="AA28" i="2"/>
  <c r="AA25" i="2"/>
  <c r="AC30" i="2"/>
  <c r="AC31" i="2"/>
  <c r="Y30" i="2"/>
  <c r="Y35" i="2"/>
  <c r="Y29" i="2"/>
  <c r="AC35" i="2"/>
  <c r="AC25" i="2"/>
  <c r="AI25" i="2"/>
  <c r="AI36" i="2"/>
  <c r="AC34" i="2"/>
  <c r="AC33" i="2"/>
  <c r="AC32" i="2"/>
  <c r="Y36" i="2"/>
  <c r="Y34" i="2"/>
  <c r="Y28" i="2"/>
  <c r="Y27" i="2"/>
  <c r="Y33" i="2"/>
  <c r="AC36" i="2"/>
  <c r="AC28" i="2"/>
  <c r="Y32" i="2"/>
  <c r="Y31" i="2"/>
  <c r="Y26" i="2"/>
  <c r="AG36" i="2"/>
  <c r="AG35" i="2"/>
  <c r="AG34" i="2"/>
  <c r="AG25" i="2"/>
  <c r="AF36" i="2"/>
  <c r="AF35" i="2"/>
  <c r="AF34" i="2"/>
  <c r="AF33" i="2"/>
  <c r="AF25" i="2"/>
  <c r="AE36" i="2"/>
  <c r="AE35" i="2"/>
  <c r="AE34" i="2"/>
  <c r="AE33" i="2"/>
  <c r="AE32" i="2"/>
  <c r="AE25" i="2"/>
  <c r="AB36" i="2"/>
  <c r="AB35" i="2"/>
  <c r="AB34" i="2"/>
  <c r="AB33" i="2"/>
  <c r="AB32" i="2"/>
  <c r="AB31" i="2"/>
  <c r="AB30" i="2"/>
  <c r="AB29" i="2"/>
  <c r="AB25" i="2"/>
  <c r="Z36" i="2"/>
  <c r="Z35" i="2"/>
  <c r="Z34" i="2"/>
  <c r="Z33" i="2"/>
  <c r="Z32" i="2"/>
  <c r="Z30" i="2"/>
  <c r="Z29" i="2"/>
  <c r="Z27" i="2"/>
  <c r="Z25" i="2"/>
  <c r="Z31" i="2"/>
  <c r="D92" i="2"/>
  <c r="D93" i="2"/>
  <c r="E93" i="2"/>
  <c r="D94" i="2"/>
  <c r="E94" i="2"/>
  <c r="F94" i="2"/>
  <c r="D95" i="2"/>
  <c r="E95" i="2"/>
  <c r="F95" i="2"/>
  <c r="G95" i="2"/>
  <c r="D96" i="2"/>
  <c r="E96" i="2"/>
  <c r="F96" i="2"/>
  <c r="G96" i="2"/>
  <c r="H96" i="2"/>
  <c r="D97" i="2"/>
  <c r="E97" i="2"/>
  <c r="F97" i="2"/>
  <c r="G97" i="2"/>
  <c r="H97" i="2"/>
  <c r="I97" i="2"/>
  <c r="D98" i="2"/>
  <c r="E98" i="2"/>
  <c r="F98" i="2"/>
  <c r="G98" i="2"/>
  <c r="H98" i="2"/>
  <c r="I98" i="2"/>
  <c r="J98" i="2"/>
  <c r="D99" i="2"/>
  <c r="E99" i="2"/>
  <c r="F99" i="2"/>
  <c r="G99" i="2"/>
  <c r="H99" i="2"/>
  <c r="I99" i="2"/>
  <c r="J99" i="2"/>
  <c r="K99" i="2"/>
  <c r="D100" i="2"/>
  <c r="E100" i="2"/>
  <c r="F100" i="2"/>
  <c r="G100" i="2"/>
  <c r="H100" i="2"/>
  <c r="I100" i="2"/>
  <c r="J100" i="2"/>
  <c r="K100" i="2"/>
  <c r="L100" i="2"/>
  <c r="D101" i="2"/>
  <c r="E101" i="2"/>
  <c r="F101" i="2"/>
  <c r="G101" i="2"/>
  <c r="H101" i="2"/>
  <c r="I101" i="2"/>
  <c r="J101" i="2"/>
  <c r="K101" i="2"/>
  <c r="L101" i="2"/>
  <c r="M101" i="2"/>
  <c r="D102" i="2"/>
  <c r="E102" i="2"/>
  <c r="F102" i="2"/>
  <c r="G102" i="2"/>
  <c r="H102" i="2"/>
  <c r="I102" i="2"/>
  <c r="J102" i="2"/>
  <c r="K102" i="2"/>
  <c r="L102" i="2"/>
  <c r="M102" i="2"/>
  <c r="N102" i="2"/>
  <c r="O87" i="2"/>
  <c r="O86" i="2"/>
  <c r="N86" i="2"/>
  <c r="O85" i="2"/>
  <c r="N85" i="2"/>
  <c r="M85" i="2"/>
  <c r="O84" i="2"/>
  <c r="N84" i="2"/>
  <c r="M84" i="2"/>
  <c r="L84" i="2"/>
  <c r="O83" i="2"/>
  <c r="N83" i="2"/>
  <c r="M83" i="2"/>
  <c r="L83" i="2"/>
  <c r="K83" i="2"/>
  <c r="O82" i="2"/>
  <c r="N82" i="2"/>
  <c r="M82" i="2"/>
  <c r="L82" i="2"/>
  <c r="K82" i="2"/>
  <c r="J82" i="2"/>
  <c r="O81" i="2"/>
  <c r="N81" i="2"/>
  <c r="M81" i="2"/>
  <c r="L81" i="2"/>
  <c r="K81" i="2"/>
  <c r="J81" i="2"/>
  <c r="I81" i="2"/>
  <c r="O80" i="2"/>
  <c r="N80" i="2"/>
  <c r="M80" i="2"/>
  <c r="L80" i="2"/>
  <c r="K80" i="2"/>
  <c r="J80" i="2"/>
  <c r="I80" i="2"/>
  <c r="H80" i="2"/>
  <c r="O79" i="2"/>
  <c r="N79" i="2"/>
  <c r="M79" i="2"/>
  <c r="L79" i="2"/>
  <c r="K79" i="2"/>
  <c r="J79" i="2"/>
  <c r="I79" i="2"/>
  <c r="I93" i="2" s="1"/>
  <c r="H79" i="2"/>
  <c r="G79" i="2"/>
  <c r="O78" i="2"/>
  <c r="N78" i="2"/>
  <c r="M78" i="2"/>
  <c r="L78" i="2"/>
  <c r="K78" i="2"/>
  <c r="J78" i="2"/>
  <c r="I78" i="2"/>
  <c r="H78" i="2"/>
  <c r="G78" i="2"/>
  <c r="F78" i="2"/>
  <c r="O77" i="2"/>
  <c r="O91" i="2" s="1"/>
  <c r="N77" i="2"/>
  <c r="N91" i="2" s="1"/>
  <c r="M77" i="2"/>
  <c r="M91" i="2" s="1"/>
  <c r="L77" i="2"/>
  <c r="L91" i="2" s="1"/>
  <c r="K77" i="2"/>
  <c r="K91" i="2" s="1"/>
  <c r="J77" i="2"/>
  <c r="J91" i="2" s="1"/>
  <c r="I77" i="2"/>
  <c r="I91" i="2" s="1"/>
  <c r="H77" i="2"/>
  <c r="H91" i="2" s="1"/>
  <c r="G77" i="2"/>
  <c r="G91" i="2" s="1"/>
  <c r="F77" i="2"/>
  <c r="F91" i="2" s="1"/>
  <c r="E77" i="2"/>
  <c r="E91" i="2" s="1"/>
  <c r="O73" i="2"/>
  <c r="AJ52" i="2" s="1"/>
  <c r="O72" i="2"/>
  <c r="N72" i="2"/>
  <c r="AI34" i="2" s="1"/>
  <c r="O71" i="2"/>
  <c r="AJ50" i="2" s="1"/>
  <c r="N71" i="2"/>
  <c r="AI50" i="2" s="1"/>
  <c r="M71" i="2"/>
  <c r="AH33" i="2" s="1"/>
  <c r="O70" i="2"/>
  <c r="AJ49" i="2" s="1"/>
  <c r="N70" i="2"/>
  <c r="M70" i="2"/>
  <c r="AH49" i="2" s="1"/>
  <c r="L70" i="2"/>
  <c r="O69" i="2"/>
  <c r="AJ31" i="2" s="1"/>
  <c r="N69" i="2"/>
  <c r="AI48" i="2" s="1"/>
  <c r="M69" i="2"/>
  <c r="AH48" i="2" s="1"/>
  <c r="L69" i="2"/>
  <c r="AG31" i="2" s="1"/>
  <c r="K69" i="2"/>
  <c r="AF48" i="2" s="1"/>
  <c r="O68" i="2"/>
  <c r="AJ30" i="2" s="1"/>
  <c r="N68" i="2"/>
  <c r="AI30" i="2" s="1"/>
  <c r="M68" i="2"/>
  <c r="AH47" i="2" s="1"/>
  <c r="L68" i="2"/>
  <c r="AG30" i="2" s="1"/>
  <c r="K68" i="2"/>
  <c r="AF47" i="2" s="1"/>
  <c r="J68" i="2"/>
  <c r="AE30" i="2" s="1"/>
  <c r="O67" i="2"/>
  <c r="AJ29" i="2" s="1"/>
  <c r="N67" i="2"/>
  <c r="M67" i="2"/>
  <c r="L67" i="2"/>
  <c r="AG29" i="2" s="1"/>
  <c r="K67" i="2"/>
  <c r="AF46" i="2" s="1"/>
  <c r="J67" i="2"/>
  <c r="AE29" i="2" s="1"/>
  <c r="I67" i="2"/>
  <c r="AD46" i="2" s="1"/>
  <c r="O66" i="2"/>
  <c r="AJ45" i="2" s="1"/>
  <c r="N66" i="2"/>
  <c r="AI28" i="2" s="1"/>
  <c r="M66" i="2"/>
  <c r="AH45" i="2" s="1"/>
  <c r="L66" i="2"/>
  <c r="AG45" i="2" s="1"/>
  <c r="K66" i="2"/>
  <c r="AF28" i="2" s="1"/>
  <c r="J66" i="2"/>
  <c r="I66" i="2"/>
  <c r="AD28" i="2" s="1"/>
  <c r="H66" i="2"/>
  <c r="H94" i="2" s="1"/>
  <c r="O65" i="2"/>
  <c r="AJ44" i="2" s="1"/>
  <c r="N65" i="2"/>
  <c r="AI27" i="2" s="1"/>
  <c r="M65" i="2"/>
  <c r="L65" i="2"/>
  <c r="K65" i="2"/>
  <c r="K93" i="2" s="1"/>
  <c r="J65" i="2"/>
  <c r="AE44" i="2" s="1"/>
  <c r="I65" i="2"/>
  <c r="AD44" i="2" s="1"/>
  <c r="H65" i="2"/>
  <c r="H93" i="2" s="1"/>
  <c r="G65" i="2"/>
  <c r="AB27" i="2" s="1"/>
  <c r="O64" i="2"/>
  <c r="N64" i="2"/>
  <c r="AI43" i="2" s="1"/>
  <c r="M64" i="2"/>
  <c r="AH43" i="2" s="1"/>
  <c r="L64" i="2"/>
  <c r="AG43" i="2" s="1"/>
  <c r="K64" i="2"/>
  <c r="AF26" i="2" s="1"/>
  <c r="J64" i="2"/>
  <c r="AE26" i="2" s="1"/>
  <c r="I64" i="2"/>
  <c r="AD43" i="2" s="1"/>
  <c r="H64" i="2"/>
  <c r="H92" i="2" s="1"/>
  <c r="G64" i="2"/>
  <c r="F64" i="2"/>
  <c r="O32" i="7"/>
  <c r="O31" i="7"/>
  <c r="M32" i="7"/>
  <c r="N32" i="7"/>
  <c r="P32" i="7"/>
  <c r="Q32" i="7"/>
  <c r="R32" i="7"/>
  <c r="S32" i="7"/>
  <c r="T32" i="7"/>
  <c r="U32" i="7"/>
  <c r="V32" i="7"/>
  <c r="W32" i="7"/>
  <c r="N31" i="7"/>
  <c r="P31" i="7"/>
  <c r="Q31" i="7"/>
  <c r="R31" i="7"/>
  <c r="S31" i="7"/>
  <c r="T31" i="7"/>
  <c r="U31" i="7"/>
  <c r="V31" i="7"/>
  <c r="W31" i="7"/>
  <c r="M31" i="7"/>
  <c r="L21" i="7"/>
  <c r="L22" i="7"/>
  <c r="L23" i="7"/>
  <c r="L24" i="7"/>
  <c r="L25" i="7"/>
  <c r="L26" i="7"/>
  <c r="L27" i="7"/>
  <c r="L28" i="7"/>
  <c r="L29" i="7"/>
  <c r="L30" i="7"/>
  <c r="L20" i="7"/>
  <c r="AK30" i="7"/>
  <c r="AJ30" i="7"/>
  <c r="AI30" i="7"/>
  <c r="AH30" i="7"/>
  <c r="AG30" i="7"/>
  <c r="AF30" i="7"/>
  <c r="AE30" i="7"/>
  <c r="AD30" i="7"/>
  <c r="AC30" i="7"/>
  <c r="AB30" i="7"/>
  <c r="AL29" i="7"/>
  <c r="AJ29" i="7"/>
  <c r="AI29" i="7"/>
  <c r="AH29" i="7"/>
  <c r="AG29" i="7"/>
  <c r="AF29" i="7"/>
  <c r="AE29" i="7"/>
  <c r="AD29" i="7"/>
  <c r="AC29" i="7"/>
  <c r="AB29" i="7"/>
  <c r="AL28" i="7"/>
  <c r="AK28" i="7"/>
  <c r="AI28" i="7"/>
  <c r="AH28" i="7"/>
  <c r="AG28" i="7"/>
  <c r="AF28" i="7"/>
  <c r="AE28" i="7"/>
  <c r="AD28" i="7"/>
  <c r="AC28" i="7"/>
  <c r="AB28" i="7"/>
  <c r="AL27" i="7"/>
  <c r="AK27" i="7"/>
  <c r="AJ27" i="7"/>
  <c r="AH27" i="7"/>
  <c r="AG27" i="7"/>
  <c r="AF27" i="7"/>
  <c r="AE27" i="7"/>
  <c r="AD27" i="7"/>
  <c r="AC27" i="7"/>
  <c r="AB27" i="7"/>
  <c r="AL26" i="7"/>
  <c r="AK26" i="7"/>
  <c r="AJ26" i="7"/>
  <c r="AI26" i="7"/>
  <c r="AG26" i="7"/>
  <c r="AF26" i="7"/>
  <c r="AE26" i="7"/>
  <c r="AD26" i="7"/>
  <c r="AC26" i="7"/>
  <c r="AB26" i="7"/>
  <c r="AL25" i="7"/>
  <c r="AK25" i="7"/>
  <c r="AJ25" i="7"/>
  <c r="AI25" i="7"/>
  <c r="AH25" i="7"/>
  <c r="AF25" i="7"/>
  <c r="AE25" i="7"/>
  <c r="AD25" i="7"/>
  <c r="AC25" i="7"/>
  <c r="AB25" i="7"/>
  <c r="AL24" i="7"/>
  <c r="AK24" i="7"/>
  <c r="AJ24" i="7"/>
  <c r="AI24" i="7"/>
  <c r="AH24" i="7"/>
  <c r="AG24" i="7"/>
  <c r="AE24" i="7"/>
  <c r="AD24" i="7"/>
  <c r="AC24" i="7"/>
  <c r="AB24" i="7"/>
  <c r="AL23" i="7"/>
  <c r="AK23" i="7"/>
  <c r="AJ23" i="7"/>
  <c r="AI23" i="7"/>
  <c r="AH23" i="7"/>
  <c r="AG23" i="7"/>
  <c r="AF23" i="7"/>
  <c r="AD23" i="7"/>
  <c r="AC23" i="7"/>
  <c r="AB23" i="7"/>
  <c r="AL22" i="7"/>
  <c r="AK22" i="7"/>
  <c r="AJ22" i="7"/>
  <c r="AI22" i="7"/>
  <c r="AH22" i="7"/>
  <c r="AG22" i="7"/>
  <c r="AF22" i="7"/>
  <c r="AE22" i="7"/>
  <c r="AC22" i="7"/>
  <c r="AB22" i="7"/>
  <c r="AL21" i="7"/>
  <c r="AK21" i="7"/>
  <c r="AJ21" i="7"/>
  <c r="AI21" i="7"/>
  <c r="AH21" i="7"/>
  <c r="AG21" i="7"/>
  <c r="AF21" i="7"/>
  <c r="AE21" i="7"/>
  <c r="AD21" i="7"/>
  <c r="AB21" i="7"/>
  <c r="AL20" i="7"/>
  <c r="AK20" i="7"/>
  <c r="AJ20" i="7"/>
  <c r="AI20" i="7"/>
  <c r="AH20" i="7"/>
  <c r="AG20" i="7"/>
  <c r="AF20" i="7"/>
  <c r="AE20" i="7"/>
  <c r="AD20" i="7"/>
  <c r="AC20" i="7"/>
  <c r="AA13" i="7"/>
  <c r="AA12" i="7"/>
  <c r="AA11" i="7"/>
  <c r="AA10" i="7"/>
  <c r="AA9" i="7"/>
  <c r="AA8" i="7"/>
  <c r="AA7" i="7"/>
  <c r="AA6" i="7"/>
  <c r="AA5" i="7"/>
  <c r="AA4" i="7"/>
  <c r="AB13" i="7"/>
  <c r="AB12" i="7"/>
  <c r="AB11" i="7"/>
  <c r="AB10" i="7"/>
  <c r="AB9" i="7"/>
  <c r="AB8" i="7"/>
  <c r="AB7" i="7"/>
  <c r="AB6" i="7"/>
  <c r="AB5" i="7"/>
  <c r="AB3" i="7"/>
  <c r="AC13" i="7"/>
  <c r="AC12" i="7"/>
  <c r="AC11" i="7"/>
  <c r="AC10" i="7"/>
  <c r="AC9" i="7"/>
  <c r="AC8" i="7"/>
  <c r="AC7" i="7"/>
  <c r="AC6" i="7"/>
  <c r="AC4" i="7"/>
  <c r="AC3" i="7"/>
  <c r="AI13" i="7"/>
  <c r="AI12" i="7"/>
  <c r="AI10" i="7"/>
  <c r="AI9" i="7"/>
  <c r="AI8" i="7"/>
  <c r="AI7" i="7"/>
  <c r="AI6" i="7"/>
  <c r="AI5" i="7"/>
  <c r="AI4" i="7"/>
  <c r="AI3" i="7"/>
  <c r="AF13" i="7"/>
  <c r="AF12" i="7"/>
  <c r="AF11" i="7"/>
  <c r="AF10" i="7"/>
  <c r="AF9" i="7"/>
  <c r="AF7" i="7"/>
  <c r="AF6" i="7"/>
  <c r="AF5" i="7"/>
  <c r="AF4" i="7"/>
  <c r="AF3" i="7"/>
  <c r="AD5" i="7"/>
  <c r="AD4" i="7"/>
  <c r="AD3" i="7"/>
  <c r="AD13" i="7"/>
  <c r="AD12" i="7"/>
  <c r="AD11" i="7"/>
  <c r="AD10" i="7"/>
  <c r="AD9" i="7"/>
  <c r="AD8" i="7"/>
  <c r="AD7" i="7"/>
  <c r="AJ10" i="7"/>
  <c r="AJ4" i="7"/>
  <c r="AH12" i="7"/>
  <c r="AH4" i="7"/>
  <c r="AH3" i="7"/>
  <c r="AJ11" i="7"/>
  <c r="AJ9" i="7"/>
  <c r="AJ8" i="7"/>
  <c r="AJ5" i="7"/>
  <c r="AJ3" i="7"/>
  <c r="AH11" i="7"/>
  <c r="AH9" i="7"/>
  <c r="AH8" i="7"/>
  <c r="AH5" i="7"/>
  <c r="AJ13" i="7"/>
  <c r="AJ7" i="7"/>
  <c r="AJ6" i="7"/>
  <c r="AH13" i="7"/>
  <c r="AH7" i="7"/>
  <c r="AH6" i="7"/>
  <c r="AK12" i="7"/>
  <c r="AK11" i="7"/>
  <c r="AK10" i="7"/>
  <c r="AK9" i="7"/>
  <c r="AK8" i="7"/>
  <c r="AK7" i="7"/>
  <c r="AK6" i="7"/>
  <c r="AK5" i="7"/>
  <c r="AK4" i="7"/>
  <c r="AK3" i="7"/>
  <c r="AG13" i="7"/>
  <c r="AG12" i="7"/>
  <c r="AG11" i="7"/>
  <c r="AG10" i="7"/>
  <c r="AG8" i="7"/>
  <c r="AG7" i="7"/>
  <c r="AG6" i="7"/>
  <c r="AG5" i="7"/>
  <c r="AG4" i="7"/>
  <c r="AG3" i="7"/>
  <c r="AE13" i="7"/>
  <c r="AE12" i="7"/>
  <c r="AE11" i="7"/>
  <c r="AE10" i="7"/>
  <c r="AE9" i="7"/>
  <c r="AE8" i="7"/>
  <c r="AE6" i="7"/>
  <c r="AE5" i="7"/>
  <c r="AE4" i="7"/>
  <c r="AE3" i="7"/>
  <c r="P31" i="6"/>
  <c r="P30" i="6"/>
  <c r="U31" i="6"/>
  <c r="U30" i="6"/>
  <c r="O31" i="6"/>
  <c r="O30" i="6"/>
  <c r="N30" i="6"/>
  <c r="Q30" i="6"/>
  <c r="R30" i="6"/>
  <c r="S30" i="6"/>
  <c r="T30" i="6"/>
  <c r="V30" i="6"/>
  <c r="N31" i="6"/>
  <c r="Q31" i="6"/>
  <c r="R31" i="6"/>
  <c r="S31" i="6"/>
  <c r="T31" i="6"/>
  <c r="V31" i="6"/>
  <c r="M31" i="6"/>
  <c r="M30" i="6"/>
  <c r="L21" i="6"/>
  <c r="L22" i="6"/>
  <c r="L23" i="6"/>
  <c r="L24" i="6"/>
  <c r="L25" i="6"/>
  <c r="L26" i="6"/>
  <c r="L27" i="6"/>
  <c r="L28" i="6"/>
  <c r="L29" i="6"/>
  <c r="L20" i="6"/>
  <c r="AH29" i="6"/>
  <c r="AG29" i="6"/>
  <c r="AF29" i="6"/>
  <c r="AE29" i="6"/>
  <c r="AD29" i="6"/>
  <c r="AC29" i="6"/>
  <c r="AB29" i="6"/>
  <c r="AA29" i="6"/>
  <c r="Z29" i="6"/>
  <c r="AI28" i="6"/>
  <c r="AG28" i="6"/>
  <c r="AF28" i="6"/>
  <c r="AE28" i="6"/>
  <c r="AD28" i="6"/>
  <c r="AC28" i="6"/>
  <c r="AB28" i="6"/>
  <c r="AA28" i="6"/>
  <c r="Z28" i="6"/>
  <c r="AI27" i="6"/>
  <c r="AH27" i="6"/>
  <c r="AF27" i="6"/>
  <c r="AE27" i="6"/>
  <c r="AD27" i="6"/>
  <c r="AC27" i="6"/>
  <c r="AB27" i="6"/>
  <c r="AA27" i="6"/>
  <c r="Z27" i="6"/>
  <c r="AI26" i="6"/>
  <c r="AH26" i="6"/>
  <c r="AG26" i="6"/>
  <c r="AE26" i="6"/>
  <c r="AD26" i="6"/>
  <c r="AC26" i="6"/>
  <c r="AB26" i="6"/>
  <c r="AA26" i="6"/>
  <c r="Z26" i="6"/>
  <c r="AI25" i="6"/>
  <c r="AH25" i="6"/>
  <c r="AG25" i="6"/>
  <c r="AF25" i="6"/>
  <c r="AD25" i="6"/>
  <c r="AC25" i="6"/>
  <c r="AB25" i="6"/>
  <c r="AA25" i="6"/>
  <c r="Z25" i="6"/>
  <c r="AI24" i="6"/>
  <c r="AH24" i="6"/>
  <c r="AG24" i="6"/>
  <c r="AF24" i="6"/>
  <c r="AE24" i="6"/>
  <c r="AC24" i="6"/>
  <c r="AB24" i="6"/>
  <c r="AA24" i="6"/>
  <c r="Z24" i="6"/>
  <c r="AI23" i="6"/>
  <c r="AH23" i="6"/>
  <c r="AG23" i="6"/>
  <c r="AF23" i="6"/>
  <c r="AE23" i="6"/>
  <c r="AD23" i="6"/>
  <c r="AB23" i="6"/>
  <c r="AA23" i="6"/>
  <c r="Z23" i="6"/>
  <c r="AI22" i="6"/>
  <c r="AH22" i="6"/>
  <c r="AG22" i="6"/>
  <c r="AF22" i="6"/>
  <c r="AE22" i="6"/>
  <c r="AD22" i="6"/>
  <c r="AC22" i="6"/>
  <c r="AA22" i="6"/>
  <c r="Z22" i="6"/>
  <c r="AI21" i="6"/>
  <c r="AH21" i="6"/>
  <c r="AG21" i="6"/>
  <c r="AF21" i="6"/>
  <c r="AE21" i="6"/>
  <c r="AD21" i="6"/>
  <c r="AC21" i="6"/>
  <c r="AB21" i="6"/>
  <c r="Z21" i="6"/>
  <c r="AI20" i="6"/>
  <c r="AH20" i="6"/>
  <c r="AG20" i="6"/>
  <c r="AF20" i="6"/>
  <c r="AE20" i="6"/>
  <c r="AD20" i="6"/>
  <c r="AC20" i="6"/>
  <c r="AB20" i="6"/>
  <c r="AA20" i="6"/>
  <c r="AA12" i="6"/>
  <c r="AA11" i="6"/>
  <c r="AA10" i="6"/>
  <c r="AA9" i="6"/>
  <c r="AA8" i="6"/>
  <c r="AA7" i="6"/>
  <c r="AA6" i="6"/>
  <c r="AA5" i="6"/>
  <c r="AA3" i="6"/>
  <c r="AF11" i="6"/>
  <c r="AF12" i="6"/>
  <c r="AF10" i="6"/>
  <c r="AF8" i="6"/>
  <c r="AF7" i="6"/>
  <c r="AF6" i="6"/>
  <c r="AF5" i="6"/>
  <c r="AF4" i="6"/>
  <c r="AF3" i="6"/>
  <c r="AD12" i="6"/>
  <c r="AD11" i="6"/>
  <c r="AD10" i="6"/>
  <c r="AD9" i="6"/>
  <c r="AD8" i="6"/>
  <c r="AD6" i="6"/>
  <c r="AD5" i="6"/>
  <c r="AD4" i="6"/>
  <c r="AD3" i="6"/>
  <c r="AC5" i="6"/>
  <c r="AC4" i="6"/>
  <c r="AC3" i="6"/>
  <c r="AB6" i="6"/>
  <c r="AB4" i="6"/>
  <c r="AB3" i="6"/>
  <c r="Z6" i="6"/>
  <c r="Z5" i="6"/>
  <c r="Z4" i="6"/>
  <c r="AB12" i="6"/>
  <c r="AB11" i="6"/>
  <c r="AB10" i="6"/>
  <c r="AB9" i="6"/>
  <c r="AB8" i="6"/>
  <c r="AB7" i="6"/>
  <c r="AH10" i="6"/>
  <c r="AH5" i="6"/>
  <c r="AG11" i="6"/>
  <c r="AG5" i="6"/>
  <c r="AH9" i="6"/>
  <c r="AH7" i="6"/>
  <c r="AH4" i="6"/>
  <c r="AH3" i="6"/>
  <c r="AG9" i="6"/>
  <c r="AG7" i="6"/>
  <c r="AG4" i="6"/>
  <c r="AH12" i="6"/>
  <c r="AH6" i="6"/>
  <c r="AG12" i="6"/>
  <c r="AG6" i="6"/>
  <c r="AG3" i="6"/>
  <c r="Z12" i="6"/>
  <c r="Z9" i="6"/>
  <c r="AI11" i="6"/>
  <c r="AI10" i="6"/>
  <c r="AI9" i="6"/>
  <c r="AI8" i="6"/>
  <c r="AI7" i="6"/>
  <c r="AI6" i="6"/>
  <c r="AI5" i="6"/>
  <c r="AI4" i="6"/>
  <c r="AI3" i="6"/>
  <c r="AH8" i="6"/>
  <c r="AG8" i="6"/>
  <c r="AE12" i="6"/>
  <c r="AE11" i="6"/>
  <c r="AE10" i="6"/>
  <c r="AE9" i="6"/>
  <c r="AE7" i="6"/>
  <c r="AE6" i="6"/>
  <c r="AE5" i="6"/>
  <c r="AE4" i="6"/>
  <c r="AE3" i="6"/>
  <c r="AC12" i="6"/>
  <c r="AC11" i="6"/>
  <c r="AC10" i="6"/>
  <c r="AC9" i="6"/>
  <c r="AC8" i="6"/>
  <c r="AC7" i="6"/>
  <c r="Z11" i="6"/>
  <c r="Z10" i="6"/>
  <c r="Z8" i="6"/>
  <c r="Z7" i="6"/>
  <c r="P32" i="5"/>
  <c r="N32" i="5"/>
  <c r="M32" i="5"/>
  <c r="O33" i="5"/>
  <c r="N33" i="5"/>
  <c r="M33" i="5"/>
  <c r="X33" i="5"/>
  <c r="U33" i="5"/>
  <c r="Q33" i="5"/>
  <c r="P33" i="5"/>
  <c r="O32" i="5"/>
  <c r="R33" i="5"/>
  <c r="S33" i="5"/>
  <c r="T33" i="5"/>
  <c r="V33" i="5"/>
  <c r="W33" i="5"/>
  <c r="Q32" i="5"/>
  <c r="R32" i="5"/>
  <c r="S32" i="5"/>
  <c r="T32" i="5"/>
  <c r="U32" i="5"/>
  <c r="V32" i="5"/>
  <c r="W32" i="5"/>
  <c r="X32" i="5"/>
  <c r="L21" i="5"/>
  <c r="L22" i="5"/>
  <c r="L23" i="5"/>
  <c r="L24" i="5"/>
  <c r="L25" i="5"/>
  <c r="L26" i="5"/>
  <c r="L27" i="5"/>
  <c r="L28" i="5"/>
  <c r="L29" i="5"/>
  <c r="L30" i="5"/>
  <c r="L31" i="5"/>
  <c r="L20" i="5"/>
  <c r="AL31" i="5"/>
  <c r="AK31" i="5"/>
  <c r="AJ31" i="5"/>
  <c r="AI31" i="5"/>
  <c r="AH31" i="5"/>
  <c r="AG31" i="5"/>
  <c r="AF31" i="5"/>
  <c r="AE31" i="5"/>
  <c r="AD31" i="5"/>
  <c r="AC31" i="5"/>
  <c r="AB31" i="5"/>
  <c r="AM30" i="5"/>
  <c r="AK30" i="5"/>
  <c r="AJ30" i="5"/>
  <c r="AI30" i="5"/>
  <c r="AH30" i="5"/>
  <c r="AG30" i="5"/>
  <c r="AF30" i="5"/>
  <c r="AE30" i="5"/>
  <c r="AD30" i="5"/>
  <c r="AC30" i="5"/>
  <c r="AB30" i="5"/>
  <c r="AM29" i="5"/>
  <c r="AL29" i="5"/>
  <c r="AJ29" i="5"/>
  <c r="AI29" i="5"/>
  <c r="AH29" i="5"/>
  <c r="AG29" i="5"/>
  <c r="AF29" i="5"/>
  <c r="AE29" i="5"/>
  <c r="AD29" i="5"/>
  <c r="AC29" i="5"/>
  <c r="AB29" i="5"/>
  <c r="AM28" i="5"/>
  <c r="AL28" i="5"/>
  <c r="AK28" i="5"/>
  <c r="AI28" i="5"/>
  <c r="AH28" i="5"/>
  <c r="AG28" i="5"/>
  <c r="AF28" i="5"/>
  <c r="AE28" i="5"/>
  <c r="AD28" i="5"/>
  <c r="AC28" i="5"/>
  <c r="AB28" i="5"/>
  <c r="AM27" i="5"/>
  <c r="AL27" i="5"/>
  <c r="AK27" i="5"/>
  <c r="AJ27" i="5"/>
  <c r="AH27" i="5"/>
  <c r="AG27" i="5"/>
  <c r="AF27" i="5"/>
  <c r="AE27" i="5"/>
  <c r="AD27" i="5"/>
  <c r="AC27" i="5"/>
  <c r="AB27" i="5"/>
  <c r="AM26" i="5"/>
  <c r="AL26" i="5"/>
  <c r="AK26" i="5"/>
  <c r="AJ26" i="5"/>
  <c r="AI26" i="5"/>
  <c r="AG26" i="5"/>
  <c r="AF26" i="5"/>
  <c r="AE26" i="5"/>
  <c r="AD26" i="5"/>
  <c r="AC26" i="5"/>
  <c r="AB26" i="5"/>
  <c r="AM25" i="5"/>
  <c r="AL25" i="5"/>
  <c r="AK25" i="5"/>
  <c r="AJ25" i="5"/>
  <c r="AI25" i="5"/>
  <c r="AH25" i="5"/>
  <c r="AF25" i="5"/>
  <c r="AE25" i="5"/>
  <c r="AD25" i="5"/>
  <c r="AC25" i="5"/>
  <c r="AB25" i="5"/>
  <c r="AM24" i="5"/>
  <c r="AL24" i="5"/>
  <c r="AK24" i="5"/>
  <c r="AJ24" i="5"/>
  <c r="AI24" i="5"/>
  <c r="AH24" i="5"/>
  <c r="AG24" i="5"/>
  <c r="AE24" i="5"/>
  <c r="AD24" i="5"/>
  <c r="AC24" i="5"/>
  <c r="AB24" i="5"/>
  <c r="AM23" i="5"/>
  <c r="AL23" i="5"/>
  <c r="AK23" i="5"/>
  <c r="AJ23" i="5"/>
  <c r="AI23" i="5"/>
  <c r="AH23" i="5"/>
  <c r="AG23" i="5"/>
  <c r="AF23" i="5"/>
  <c r="AD23" i="5"/>
  <c r="AC23" i="5"/>
  <c r="AB23" i="5"/>
  <c r="AM22" i="5"/>
  <c r="AL22" i="5"/>
  <c r="AK22" i="5"/>
  <c r="AJ22" i="5"/>
  <c r="AI22" i="5"/>
  <c r="AH22" i="5"/>
  <c r="AG22" i="5"/>
  <c r="AF22" i="5"/>
  <c r="AE22" i="5"/>
  <c r="AC22" i="5"/>
  <c r="AB22" i="5"/>
  <c r="AM21" i="5"/>
  <c r="AL21" i="5"/>
  <c r="AK21" i="5"/>
  <c r="AJ21" i="5"/>
  <c r="AI21" i="5"/>
  <c r="AH21" i="5"/>
  <c r="AG21" i="5"/>
  <c r="AF21" i="5"/>
  <c r="AE21" i="5"/>
  <c r="AD21" i="5"/>
  <c r="AB21" i="5"/>
  <c r="AM20" i="5"/>
  <c r="AL20" i="5"/>
  <c r="AK20" i="5"/>
  <c r="AJ20" i="5"/>
  <c r="AI20" i="5"/>
  <c r="AH20" i="5"/>
  <c r="AG20" i="5"/>
  <c r="AF20" i="5"/>
  <c r="AE20" i="5"/>
  <c r="AD20" i="5"/>
  <c r="AC20" i="5"/>
  <c r="AB14" i="5"/>
  <c r="AB13" i="5"/>
  <c r="AB12" i="5"/>
  <c r="AB11" i="5"/>
  <c r="AB10" i="5"/>
  <c r="AB9" i="5"/>
  <c r="AB8" i="5"/>
  <c r="AB7" i="5"/>
  <c r="AB6" i="5"/>
  <c r="AB5" i="5"/>
  <c r="AB4" i="5"/>
  <c r="AK14" i="5"/>
  <c r="AK13" i="5"/>
  <c r="AK11" i="5"/>
  <c r="AK10" i="5"/>
  <c r="AK9" i="5"/>
  <c r="AK8" i="5"/>
  <c r="AK7" i="5"/>
  <c r="AK6" i="5"/>
  <c r="AK5" i="5"/>
  <c r="AK4" i="5"/>
  <c r="AK3" i="5"/>
  <c r="AL14" i="5"/>
  <c r="AL12" i="5"/>
  <c r="AL11" i="5"/>
  <c r="AL10" i="5"/>
  <c r="AL9" i="5"/>
  <c r="AL8" i="5"/>
  <c r="AL7" i="5"/>
  <c r="AL6" i="5"/>
  <c r="AL5" i="5"/>
  <c r="AL4" i="5"/>
  <c r="AL3" i="5"/>
  <c r="AD14" i="5"/>
  <c r="AD13" i="5"/>
  <c r="AD12" i="5"/>
  <c r="AD11" i="5"/>
  <c r="AD10" i="5"/>
  <c r="AD9" i="5"/>
  <c r="AD8" i="5"/>
  <c r="AD7" i="5"/>
  <c r="AD6" i="5"/>
  <c r="AD4" i="5"/>
  <c r="AD3" i="5"/>
  <c r="AE5" i="5"/>
  <c r="AE4" i="5"/>
  <c r="AE3" i="5"/>
  <c r="AC6" i="5"/>
  <c r="AC5" i="5"/>
  <c r="AC3" i="5"/>
  <c r="AE14" i="5"/>
  <c r="AE13" i="5"/>
  <c r="AE12" i="5"/>
  <c r="AE11" i="5"/>
  <c r="AE10" i="5"/>
  <c r="AE9" i="5"/>
  <c r="AE8" i="5"/>
  <c r="AE7" i="5"/>
  <c r="AM13" i="5"/>
  <c r="AM11" i="5"/>
  <c r="AM7" i="5"/>
  <c r="AM6" i="5"/>
  <c r="AJ14" i="5"/>
  <c r="AJ13" i="5"/>
  <c r="AJ7" i="5"/>
  <c r="AJ6" i="5"/>
  <c r="AF14" i="5"/>
  <c r="AF13" i="5"/>
  <c r="AF11" i="5"/>
  <c r="AF6" i="5"/>
  <c r="AJ8" i="5"/>
  <c r="AM8" i="5"/>
  <c r="AM5" i="5"/>
  <c r="AM3" i="5"/>
  <c r="AM4" i="5"/>
  <c r="AJ5" i="5"/>
  <c r="AJ4" i="5"/>
  <c r="AJ3" i="5"/>
  <c r="AJ9" i="5"/>
  <c r="AF10" i="5"/>
  <c r="AF8" i="5"/>
  <c r="AF5" i="5"/>
  <c r="AF3" i="5"/>
  <c r="AM9" i="5"/>
  <c r="AJ12" i="5"/>
  <c r="AF12" i="5"/>
  <c r="AF9" i="5"/>
  <c r="AF4" i="5"/>
  <c r="AG12" i="5"/>
  <c r="AC11" i="5"/>
  <c r="AC7" i="5"/>
  <c r="AH6" i="5"/>
  <c r="AC10" i="5"/>
  <c r="AM12" i="5"/>
  <c r="AM10" i="5"/>
  <c r="AI13" i="5"/>
  <c r="AI12" i="5"/>
  <c r="AJ10" i="5"/>
  <c r="AI14" i="5"/>
  <c r="AI11" i="5"/>
  <c r="AI9" i="5"/>
  <c r="AI8" i="5"/>
  <c r="AI7" i="5"/>
  <c r="AI6" i="5"/>
  <c r="AI5" i="5"/>
  <c r="AI4" i="5"/>
  <c r="AI3" i="5"/>
  <c r="AH14" i="5"/>
  <c r="AH13" i="5"/>
  <c r="AH12" i="5"/>
  <c r="AH11" i="5"/>
  <c r="AH10" i="5"/>
  <c r="AH8" i="5"/>
  <c r="AH7" i="5"/>
  <c r="AH5" i="5"/>
  <c r="AH4" i="5"/>
  <c r="AH3" i="5"/>
  <c r="AG14" i="5"/>
  <c r="AG13" i="5"/>
  <c r="AG11" i="5"/>
  <c r="AG10" i="5"/>
  <c r="AG9" i="5"/>
  <c r="AG7" i="5"/>
  <c r="AG6" i="5"/>
  <c r="AG5" i="5"/>
  <c r="AG4" i="5"/>
  <c r="AG3" i="5"/>
  <c r="AC14" i="5"/>
  <c r="AC13" i="5"/>
  <c r="AC12" i="5"/>
  <c r="AC9" i="5"/>
  <c r="AC8" i="5"/>
  <c r="Y37" i="4"/>
  <c r="Z37" i="4"/>
  <c r="AA37" i="4"/>
  <c r="X37" i="4"/>
  <c r="W37" i="4"/>
  <c r="T37" i="4"/>
  <c r="V37" i="4"/>
  <c r="U37" i="4"/>
  <c r="P37" i="4"/>
  <c r="O37" i="4"/>
  <c r="N37" i="4"/>
  <c r="M37" i="4"/>
  <c r="Q37" i="4"/>
  <c r="R37" i="4"/>
  <c r="S37" i="4"/>
  <c r="AB37" i="4"/>
  <c r="N36" i="4"/>
  <c r="O36" i="4"/>
  <c r="P36" i="4"/>
  <c r="Q36" i="4"/>
  <c r="R36" i="4"/>
  <c r="S36" i="4"/>
  <c r="T36" i="4"/>
  <c r="U36" i="4"/>
  <c r="V36" i="4"/>
  <c r="W36" i="4"/>
  <c r="X36" i="4"/>
  <c r="Y36" i="4"/>
  <c r="Z36" i="4"/>
  <c r="AA36" i="4"/>
  <c r="AB36" i="4"/>
  <c r="M36" i="4"/>
  <c r="L21" i="4"/>
  <c r="L22" i="4"/>
  <c r="L23" i="4"/>
  <c r="L24" i="4"/>
  <c r="L25" i="4"/>
  <c r="L26" i="4"/>
  <c r="L27" i="4"/>
  <c r="L28" i="4"/>
  <c r="L29" i="4"/>
  <c r="L30" i="4"/>
  <c r="L31" i="4"/>
  <c r="L32" i="4"/>
  <c r="L33" i="4"/>
  <c r="L34" i="4"/>
  <c r="L35" i="4"/>
  <c r="L20" i="4"/>
  <c r="AT35" i="4"/>
  <c r="AS35" i="4"/>
  <c r="AR35" i="4"/>
  <c r="AQ35" i="4"/>
  <c r="AP35" i="4"/>
  <c r="AO35" i="4"/>
  <c r="AN35" i="4"/>
  <c r="AM35" i="4"/>
  <c r="AL35" i="4"/>
  <c r="AK35" i="4"/>
  <c r="AJ35" i="4"/>
  <c r="AI35" i="4"/>
  <c r="AH35" i="4"/>
  <c r="AG35" i="4"/>
  <c r="AF35" i="4"/>
  <c r="AU34" i="4"/>
  <c r="AS34" i="4"/>
  <c r="AR34" i="4"/>
  <c r="AQ34" i="4"/>
  <c r="AP34" i="4"/>
  <c r="AO34" i="4"/>
  <c r="AN34" i="4"/>
  <c r="AM34" i="4"/>
  <c r="AL34" i="4"/>
  <c r="AK34" i="4"/>
  <c r="AJ34" i="4"/>
  <c r="AI34" i="4"/>
  <c r="AH34" i="4"/>
  <c r="AG34" i="4"/>
  <c r="AF34" i="4"/>
  <c r="AU33" i="4"/>
  <c r="AT33" i="4"/>
  <c r="AR33" i="4"/>
  <c r="AQ33" i="4"/>
  <c r="AP33" i="4"/>
  <c r="AO33" i="4"/>
  <c r="AN33" i="4"/>
  <c r="AM33" i="4"/>
  <c r="AL33" i="4"/>
  <c r="AK33" i="4"/>
  <c r="AJ33" i="4"/>
  <c r="AI33" i="4"/>
  <c r="AH33" i="4"/>
  <c r="AG33" i="4"/>
  <c r="AF33" i="4"/>
  <c r="AU32" i="4"/>
  <c r="AT32" i="4"/>
  <c r="AS32" i="4"/>
  <c r="AQ32" i="4"/>
  <c r="AP32" i="4"/>
  <c r="AO32" i="4"/>
  <c r="AN32" i="4"/>
  <c r="AM32" i="4"/>
  <c r="AL32" i="4"/>
  <c r="AK32" i="4"/>
  <c r="AJ32" i="4"/>
  <c r="AI32" i="4"/>
  <c r="AH32" i="4"/>
  <c r="AG32" i="4"/>
  <c r="AF32" i="4"/>
  <c r="AU31" i="4"/>
  <c r="AT31" i="4"/>
  <c r="AS31" i="4"/>
  <c r="AR31" i="4"/>
  <c r="AP31" i="4"/>
  <c r="AO31" i="4"/>
  <c r="AN31" i="4"/>
  <c r="AM31" i="4"/>
  <c r="AL31" i="4"/>
  <c r="AK31" i="4"/>
  <c r="AJ31" i="4"/>
  <c r="AI31" i="4"/>
  <c r="AH31" i="4"/>
  <c r="AG31" i="4"/>
  <c r="AF31" i="4"/>
  <c r="AU30" i="4"/>
  <c r="AT30" i="4"/>
  <c r="AS30" i="4"/>
  <c r="AR30" i="4"/>
  <c r="AQ30" i="4"/>
  <c r="AO30" i="4"/>
  <c r="AN30" i="4"/>
  <c r="AM30" i="4"/>
  <c r="AL30" i="4"/>
  <c r="AK30" i="4"/>
  <c r="AJ30" i="4"/>
  <c r="AI30" i="4"/>
  <c r="AH30" i="4"/>
  <c r="AG30" i="4"/>
  <c r="AF30" i="4"/>
  <c r="AU29" i="4"/>
  <c r="AT29" i="4"/>
  <c r="AS29" i="4"/>
  <c r="AR29" i="4"/>
  <c r="AQ29" i="4"/>
  <c r="AP29" i="4"/>
  <c r="AN29" i="4"/>
  <c r="AM29" i="4"/>
  <c r="AL29" i="4"/>
  <c r="AK29" i="4"/>
  <c r="AJ29" i="4"/>
  <c r="AI29" i="4"/>
  <c r="AH29" i="4"/>
  <c r="AG29" i="4"/>
  <c r="AF29" i="4"/>
  <c r="AU28" i="4"/>
  <c r="AT28" i="4"/>
  <c r="AS28" i="4"/>
  <c r="AR28" i="4"/>
  <c r="AQ28" i="4"/>
  <c r="AP28" i="4"/>
  <c r="AO28" i="4"/>
  <c r="AM28" i="4"/>
  <c r="AL28" i="4"/>
  <c r="AK28" i="4"/>
  <c r="AJ28" i="4"/>
  <c r="AI28" i="4"/>
  <c r="AH28" i="4"/>
  <c r="AG28" i="4"/>
  <c r="AF28" i="4"/>
  <c r="AU27" i="4"/>
  <c r="AT27" i="4"/>
  <c r="AS27" i="4"/>
  <c r="AR27" i="4"/>
  <c r="AQ27" i="4"/>
  <c r="AP27" i="4"/>
  <c r="AO27" i="4"/>
  <c r="AN27" i="4"/>
  <c r="AL27" i="4"/>
  <c r="AK27" i="4"/>
  <c r="AJ27" i="4"/>
  <c r="AI27" i="4"/>
  <c r="AH27" i="4"/>
  <c r="AG27" i="4"/>
  <c r="AF27" i="4"/>
  <c r="AU26" i="4"/>
  <c r="AT26" i="4"/>
  <c r="AS26" i="4"/>
  <c r="AR26" i="4"/>
  <c r="AQ26" i="4"/>
  <c r="AP26" i="4"/>
  <c r="AO26" i="4"/>
  <c r="AN26" i="4"/>
  <c r="AM26" i="4"/>
  <c r="AK26" i="4"/>
  <c r="AJ26" i="4"/>
  <c r="AI26" i="4"/>
  <c r="AH26" i="4"/>
  <c r="AG26" i="4"/>
  <c r="AF26" i="4"/>
  <c r="AU25" i="4"/>
  <c r="AT25" i="4"/>
  <c r="AS25" i="4"/>
  <c r="AR25" i="4"/>
  <c r="AQ25" i="4"/>
  <c r="AP25" i="4"/>
  <c r="AO25" i="4"/>
  <c r="AN25" i="4"/>
  <c r="AM25" i="4"/>
  <c r="AL25" i="4"/>
  <c r="AJ25" i="4"/>
  <c r="AI25" i="4"/>
  <c r="AH25" i="4"/>
  <c r="AG25" i="4"/>
  <c r="AF25" i="4"/>
  <c r="AU24" i="4"/>
  <c r="AT24" i="4"/>
  <c r="AS24" i="4"/>
  <c r="AR24" i="4"/>
  <c r="AQ24" i="4"/>
  <c r="AP24" i="4"/>
  <c r="AO24" i="4"/>
  <c r="AN24" i="4"/>
  <c r="AM24" i="4"/>
  <c r="AL24" i="4"/>
  <c r="AK24" i="4"/>
  <c r="AI24" i="4"/>
  <c r="AH24" i="4"/>
  <c r="AG24" i="4"/>
  <c r="AF24" i="4"/>
  <c r="AU23" i="4"/>
  <c r="AT23" i="4"/>
  <c r="AS23" i="4"/>
  <c r="AR23" i="4"/>
  <c r="AQ23" i="4"/>
  <c r="AP23" i="4"/>
  <c r="AO23" i="4"/>
  <c r="AN23" i="4"/>
  <c r="AM23" i="4"/>
  <c r="AL23" i="4"/>
  <c r="AK23" i="4"/>
  <c r="AJ23" i="4"/>
  <c r="AH23" i="4"/>
  <c r="AG23" i="4"/>
  <c r="AF23" i="4"/>
  <c r="AU22" i="4"/>
  <c r="AT22" i="4"/>
  <c r="AS22" i="4"/>
  <c r="AR22" i="4"/>
  <c r="AQ22" i="4"/>
  <c r="AP22" i="4"/>
  <c r="AO22" i="4"/>
  <c r="AN22" i="4"/>
  <c r="AM22" i="4"/>
  <c r="AL22" i="4"/>
  <c r="AK22" i="4"/>
  <c r="AJ22" i="4"/>
  <c r="AI22" i="4"/>
  <c r="AG22" i="4"/>
  <c r="AF22" i="4"/>
  <c r="AU21" i="4"/>
  <c r="AT21" i="4"/>
  <c r="AS21" i="4"/>
  <c r="AR21" i="4"/>
  <c r="AQ21" i="4"/>
  <c r="AP21" i="4"/>
  <c r="AO21" i="4"/>
  <c r="AN21" i="4"/>
  <c r="AM21" i="4"/>
  <c r="AL21" i="4"/>
  <c r="AK21" i="4"/>
  <c r="AJ21" i="4"/>
  <c r="AI21" i="4"/>
  <c r="AH21" i="4"/>
  <c r="AF21" i="4"/>
  <c r="AU20" i="4"/>
  <c r="AT20" i="4"/>
  <c r="AS20" i="4"/>
  <c r="AR20" i="4"/>
  <c r="AQ20" i="4"/>
  <c r="AP20" i="4"/>
  <c r="AO20" i="4"/>
  <c r="AN20" i="4"/>
  <c r="AM20" i="4"/>
  <c r="AL20" i="4"/>
  <c r="AK20" i="4"/>
  <c r="AJ20" i="4"/>
  <c r="AI20" i="4"/>
  <c r="AH20" i="4"/>
  <c r="AG20" i="4"/>
  <c r="AH18" i="4"/>
  <c r="AH17" i="4"/>
  <c r="AH16" i="4"/>
  <c r="AH15" i="4"/>
  <c r="AH14" i="4"/>
  <c r="AH13" i="4"/>
  <c r="AH12" i="4"/>
  <c r="AH11" i="4"/>
  <c r="AH10" i="4"/>
  <c r="AH9" i="4"/>
  <c r="AH8" i="4"/>
  <c r="AH7" i="4"/>
  <c r="AH6" i="4"/>
  <c r="AH4" i="4"/>
  <c r="AH3" i="4"/>
  <c r="AF18" i="4"/>
  <c r="AF17" i="4"/>
  <c r="AF16" i="4"/>
  <c r="AF15" i="4"/>
  <c r="AF14" i="4"/>
  <c r="AF13" i="4"/>
  <c r="AF12" i="4"/>
  <c r="AF11" i="4"/>
  <c r="AF10" i="4"/>
  <c r="AF9" i="4"/>
  <c r="AF8" i="4"/>
  <c r="AF7" i="4"/>
  <c r="AF6" i="4"/>
  <c r="AF5" i="4"/>
  <c r="AF4" i="4"/>
  <c r="AT18" i="4"/>
  <c r="AT16" i="4"/>
  <c r="AT15" i="4"/>
  <c r="AT14" i="4"/>
  <c r="AT13" i="4"/>
  <c r="AT12" i="4"/>
  <c r="AT11" i="4"/>
  <c r="AT10" i="4"/>
  <c r="AT9" i="4"/>
  <c r="AT8" i="4"/>
  <c r="AT7" i="4"/>
  <c r="AT6" i="4"/>
  <c r="AT5" i="4"/>
  <c r="AT4" i="4"/>
  <c r="AT3" i="4"/>
  <c r="AI18" i="4"/>
  <c r="AI17" i="4"/>
  <c r="AI16" i="4"/>
  <c r="AI15" i="4"/>
  <c r="AI14" i="4"/>
  <c r="AI13" i="4"/>
  <c r="AI12" i="4"/>
  <c r="AI11" i="4"/>
  <c r="AI10" i="4"/>
  <c r="AI9" i="4"/>
  <c r="AI8" i="4"/>
  <c r="AI7" i="4"/>
  <c r="AI5" i="4"/>
  <c r="AI4" i="4"/>
  <c r="AI3" i="4"/>
  <c r="AG6" i="4"/>
  <c r="AG5" i="4"/>
  <c r="AG3" i="4"/>
  <c r="AG18" i="4"/>
  <c r="AG17" i="4"/>
  <c r="AG16" i="4"/>
  <c r="AG15" i="4"/>
  <c r="AG14" i="4"/>
  <c r="AG13" i="4"/>
  <c r="AG12" i="4"/>
  <c r="AG11" i="4"/>
  <c r="AG10" i="4"/>
  <c r="AG9" i="4"/>
  <c r="AG8" i="4"/>
  <c r="AG7" i="4"/>
  <c r="AU14" i="4"/>
  <c r="AU10" i="4"/>
  <c r="AU7" i="4"/>
  <c r="AU4" i="4"/>
  <c r="AQ18" i="4"/>
  <c r="AQ10" i="4"/>
  <c r="AQ7" i="4"/>
  <c r="AQ4" i="4"/>
  <c r="AQ3" i="4"/>
  <c r="AM18" i="4"/>
  <c r="AM14" i="4"/>
  <c r="AM7" i="4"/>
  <c r="AM4" i="4"/>
  <c r="AJ18" i="4"/>
  <c r="AJ14" i="4"/>
  <c r="AJ10" i="4"/>
  <c r="AJ4" i="4"/>
  <c r="AU16" i="4"/>
  <c r="AU17" i="4"/>
  <c r="AU12" i="4"/>
  <c r="AU11" i="4"/>
  <c r="AU9" i="4"/>
  <c r="AU6" i="4"/>
  <c r="AU3" i="4"/>
  <c r="AQ15" i="4"/>
  <c r="AQ13" i="4"/>
  <c r="AQ9" i="4"/>
  <c r="AQ8" i="4"/>
  <c r="AQ5" i="4"/>
  <c r="AM9" i="4"/>
  <c r="AM17" i="4"/>
  <c r="AM16" i="4"/>
  <c r="AM12" i="4"/>
  <c r="AM11" i="4"/>
  <c r="AM6" i="4"/>
  <c r="AM3" i="4"/>
  <c r="AJ17" i="4"/>
  <c r="AJ16" i="4"/>
  <c r="AJ12" i="4"/>
  <c r="AJ11" i="4"/>
  <c r="AJ9" i="4"/>
  <c r="AJ6" i="4"/>
  <c r="AJ3" i="4"/>
  <c r="AU15" i="4"/>
  <c r="AU13" i="4"/>
  <c r="AU8" i="4"/>
  <c r="AU5" i="4"/>
  <c r="AQ17" i="4"/>
  <c r="AQ12" i="4"/>
  <c r="AQ11" i="4"/>
  <c r="AQ6" i="4"/>
  <c r="AM15" i="4"/>
  <c r="AM13" i="4"/>
  <c r="AM8" i="4"/>
  <c r="AM5" i="4"/>
  <c r="AJ15" i="4"/>
  <c r="AJ13" i="4"/>
  <c r="AJ8" i="4"/>
  <c r="AJ5" i="4"/>
  <c r="AN14" i="4"/>
  <c r="AK14" i="4"/>
  <c r="AP7" i="4"/>
  <c r="AS18" i="4"/>
  <c r="AS17" i="4"/>
  <c r="AS15" i="4"/>
  <c r="AS14" i="4"/>
  <c r="AS13" i="4"/>
  <c r="AS12" i="4"/>
  <c r="AS10" i="4"/>
  <c r="AS9" i="4"/>
  <c r="AS8" i="4"/>
  <c r="AS7" i="4"/>
  <c r="AS6" i="4"/>
  <c r="AS5" i="4"/>
  <c r="AS4" i="4"/>
  <c r="AS3" i="4"/>
  <c r="AR18" i="4"/>
  <c r="AR17" i="4"/>
  <c r="AR16" i="4"/>
  <c r="AR13" i="4"/>
  <c r="AR14" i="4"/>
  <c r="AR12" i="4"/>
  <c r="AR11" i="4"/>
  <c r="AR10" i="4"/>
  <c r="AR9" i="4"/>
  <c r="AR8" i="4"/>
  <c r="AR7" i="4"/>
  <c r="AR6" i="4"/>
  <c r="AR5" i="4"/>
  <c r="AR4" i="4"/>
  <c r="AR3" i="4"/>
  <c r="AQ16" i="4"/>
  <c r="AP17" i="4"/>
  <c r="AP16" i="4"/>
  <c r="AP15" i="4"/>
  <c r="AP14" i="4"/>
  <c r="AP12" i="4"/>
  <c r="AP11" i="4"/>
  <c r="AP10" i="4"/>
  <c r="AP9" i="4"/>
  <c r="AP8" i="4"/>
  <c r="AP6" i="4"/>
  <c r="AP5" i="4"/>
  <c r="AP4" i="4"/>
  <c r="AP3" i="4"/>
  <c r="AO18" i="4"/>
  <c r="AO17" i="4"/>
  <c r="AO16" i="4"/>
  <c r="AO15" i="4"/>
  <c r="AO14" i="4"/>
  <c r="AO13" i="4"/>
  <c r="AO11" i="4"/>
  <c r="AO10" i="4"/>
  <c r="AO9" i="4"/>
  <c r="AO8" i="4"/>
  <c r="AO7" i="4"/>
  <c r="AO5" i="4"/>
  <c r="AO4" i="4"/>
  <c r="AO3" i="4"/>
  <c r="AN18" i="4"/>
  <c r="AN17" i="4"/>
  <c r="AN15" i="4"/>
  <c r="AN13" i="4"/>
  <c r="AN12" i="4"/>
  <c r="AN10" i="4"/>
  <c r="AN8" i="4"/>
  <c r="AN7" i="4"/>
  <c r="AN6" i="4"/>
  <c r="AN5" i="4"/>
  <c r="AN4" i="4"/>
  <c r="AN3" i="4"/>
  <c r="AL18" i="4"/>
  <c r="AL17" i="4"/>
  <c r="AL15" i="4"/>
  <c r="AL14" i="4"/>
  <c r="AL13" i="4"/>
  <c r="AL12" i="4"/>
  <c r="AL10" i="4"/>
  <c r="AL8" i="4"/>
  <c r="AL7" i="4"/>
  <c r="AL6" i="4"/>
  <c r="AL5" i="4"/>
  <c r="AL4" i="4"/>
  <c r="AL3" i="4"/>
  <c r="AK18" i="4"/>
  <c r="AK17" i="4"/>
  <c r="AK16" i="4"/>
  <c r="AK15" i="4"/>
  <c r="AK13" i="4"/>
  <c r="AK12" i="4"/>
  <c r="AK11" i="4"/>
  <c r="AK10" i="4"/>
  <c r="AK9" i="4"/>
  <c r="AK7" i="4"/>
  <c r="AK6" i="4"/>
  <c r="AK5" i="4"/>
  <c r="AK4" i="4"/>
  <c r="AK3" i="4"/>
  <c r="AO6" i="4"/>
  <c r="AP18" i="4"/>
  <c r="AL16" i="4"/>
  <c r="AN16" i="4"/>
  <c r="AS11" i="4"/>
  <c r="AN9" i="4"/>
  <c r="AL11" i="4"/>
  <c r="AC28" i="3"/>
  <c r="AB28" i="3"/>
  <c r="AA28" i="3"/>
  <c r="Z28" i="3"/>
  <c r="Y28" i="3"/>
  <c r="X28" i="3"/>
  <c r="W28" i="3"/>
  <c r="V28" i="3"/>
  <c r="AD27" i="3"/>
  <c r="AB27" i="3"/>
  <c r="AA27" i="3"/>
  <c r="Z27" i="3"/>
  <c r="Y27" i="3"/>
  <c r="X27" i="3"/>
  <c r="W27" i="3"/>
  <c r="V27" i="3"/>
  <c r="AD26" i="3"/>
  <c r="AC26" i="3"/>
  <c r="AA26" i="3"/>
  <c r="Z26" i="3"/>
  <c r="Y26" i="3"/>
  <c r="X26" i="3"/>
  <c r="W26" i="3"/>
  <c r="V26" i="3"/>
  <c r="AD25" i="3"/>
  <c r="AC25" i="3"/>
  <c r="AB25" i="3"/>
  <c r="Z25" i="3"/>
  <c r="Y25" i="3"/>
  <c r="X25" i="3"/>
  <c r="W25" i="3"/>
  <c r="V25" i="3"/>
  <c r="AD24" i="3"/>
  <c r="AC24" i="3"/>
  <c r="AB24" i="3"/>
  <c r="AA24" i="3"/>
  <c r="Y24" i="3"/>
  <c r="X24" i="3"/>
  <c r="W24" i="3"/>
  <c r="V24" i="3"/>
  <c r="AD23" i="3"/>
  <c r="AC23" i="3"/>
  <c r="AB23" i="3"/>
  <c r="AA23" i="3"/>
  <c r="Z23" i="3"/>
  <c r="X23" i="3"/>
  <c r="W23" i="3"/>
  <c r="V23" i="3"/>
  <c r="AD22" i="3"/>
  <c r="AC22" i="3"/>
  <c r="AB22" i="3"/>
  <c r="AA22" i="3"/>
  <c r="Z22" i="3"/>
  <c r="Y22" i="3"/>
  <c r="W22" i="3"/>
  <c r="V22" i="3"/>
  <c r="AD21" i="3"/>
  <c r="AC21" i="3"/>
  <c r="AB21" i="3"/>
  <c r="AA21" i="3"/>
  <c r="Z21" i="3"/>
  <c r="Y21" i="3"/>
  <c r="X21" i="3"/>
  <c r="V21" i="3"/>
  <c r="AD20" i="3"/>
  <c r="AC20" i="3"/>
  <c r="AB20" i="3"/>
  <c r="AA20" i="3"/>
  <c r="Z20" i="3"/>
  <c r="Y20" i="3"/>
  <c r="X20" i="3"/>
  <c r="W20" i="3"/>
  <c r="AD10" i="3"/>
  <c r="AD9" i="3"/>
  <c r="AD8" i="3"/>
  <c r="AD7" i="3"/>
  <c r="AD6" i="3"/>
  <c r="AD5" i="3"/>
  <c r="AD4" i="3"/>
  <c r="AD3" i="3"/>
  <c r="AC11" i="3"/>
  <c r="AC9" i="3"/>
  <c r="AC8" i="3"/>
  <c r="AC7" i="3"/>
  <c r="AC6" i="3"/>
  <c r="AC5" i="3"/>
  <c r="AC4" i="3"/>
  <c r="AC3" i="3"/>
  <c r="AB11" i="3"/>
  <c r="AB10" i="3"/>
  <c r="AB8" i="3"/>
  <c r="AB7" i="3"/>
  <c r="AB6" i="3"/>
  <c r="AB5" i="3"/>
  <c r="AB4" i="3"/>
  <c r="AB3" i="3"/>
  <c r="AA11" i="3"/>
  <c r="AA10" i="3"/>
  <c r="AA9" i="3"/>
  <c r="AA7" i="3"/>
  <c r="AA6" i="3"/>
  <c r="AA5" i="3"/>
  <c r="AA4" i="3"/>
  <c r="AA3" i="3"/>
  <c r="Z11" i="3"/>
  <c r="Z10" i="3"/>
  <c r="Z9" i="3"/>
  <c r="Z8" i="3"/>
  <c r="Z6" i="3"/>
  <c r="Z5" i="3"/>
  <c r="Z4" i="3"/>
  <c r="Z3" i="3"/>
  <c r="Y11" i="3"/>
  <c r="Y10" i="3"/>
  <c r="Y9" i="3"/>
  <c r="Y8" i="3"/>
  <c r="Y7" i="3"/>
  <c r="Y5" i="3"/>
  <c r="Y4" i="3"/>
  <c r="X11" i="3"/>
  <c r="X10" i="3"/>
  <c r="X9" i="3"/>
  <c r="X8" i="3"/>
  <c r="X7" i="3"/>
  <c r="X6" i="3"/>
  <c r="X4" i="3"/>
  <c r="X3" i="3"/>
  <c r="W11" i="3"/>
  <c r="W10" i="3"/>
  <c r="W9" i="3"/>
  <c r="W8" i="3"/>
  <c r="W7" i="3"/>
  <c r="W6" i="3"/>
  <c r="W5" i="3"/>
  <c r="W3" i="3"/>
  <c r="V11" i="3"/>
  <c r="V10" i="3"/>
  <c r="V9" i="3"/>
  <c r="V8" i="3"/>
  <c r="V7" i="3"/>
  <c r="V6" i="3"/>
  <c r="V5" i="3"/>
  <c r="V4" i="3"/>
  <c r="N29" i="3"/>
  <c r="O29" i="3"/>
  <c r="P29" i="3"/>
  <c r="Q29" i="3"/>
  <c r="R29" i="3"/>
  <c r="S29" i="3"/>
  <c r="T29" i="3"/>
  <c r="U29" i="3"/>
  <c r="M29" i="3"/>
  <c r="R30" i="3"/>
  <c r="P30" i="3"/>
  <c r="O30" i="3"/>
  <c r="N30" i="3"/>
  <c r="M30" i="3"/>
  <c r="Q30" i="3"/>
  <c r="S30" i="3"/>
  <c r="T30" i="3"/>
  <c r="U30" i="3"/>
  <c r="L21" i="3"/>
  <c r="L22" i="3"/>
  <c r="L23" i="3"/>
  <c r="L24" i="3"/>
  <c r="L25" i="3"/>
  <c r="L26" i="3"/>
  <c r="L27" i="3"/>
  <c r="L28" i="3"/>
  <c r="L20" i="3"/>
  <c r="R54" i="2" l="1"/>
  <c r="R55" i="2"/>
  <c r="AL53" i="2"/>
  <c r="N53" i="2" s="1"/>
  <c r="AJ48" i="2"/>
  <c r="J94" i="2"/>
  <c r="L98" i="2"/>
  <c r="O100" i="2"/>
  <c r="AL13" i="7"/>
  <c r="M13" i="7" s="1"/>
  <c r="G92" i="2"/>
  <c r="O92" i="2"/>
  <c r="AG46" i="2"/>
  <c r="L93" i="2"/>
  <c r="M95" i="2"/>
  <c r="N98" i="2"/>
  <c r="L96" i="2"/>
  <c r="AF27" i="2"/>
  <c r="AD26" i="2"/>
  <c r="AJ35" i="2"/>
  <c r="AL35" i="2" s="1"/>
  <c r="E35" i="2" s="1"/>
  <c r="AC45" i="2"/>
  <c r="AH46" i="2"/>
  <c r="AI51" i="2"/>
  <c r="AI47" i="2"/>
  <c r="F92" i="2"/>
  <c r="N92" i="2"/>
  <c r="M93" i="2"/>
  <c r="N95" i="2"/>
  <c r="K94" i="2"/>
  <c r="L95" i="2"/>
  <c r="N96" i="2"/>
  <c r="M98" i="2"/>
  <c r="O101" i="2"/>
  <c r="M97" i="2"/>
  <c r="AF30" i="2"/>
  <c r="AI31" i="2"/>
  <c r="AD27" i="2"/>
  <c r="AF45" i="2"/>
  <c r="AJ4" i="6"/>
  <c r="R4" i="6" s="1"/>
  <c r="AL11" i="7"/>
  <c r="Q11" i="7" s="1"/>
  <c r="N94" i="2"/>
  <c r="L92" i="2"/>
  <c r="AD29" i="2"/>
  <c r="AH27" i="2"/>
  <c r="AG26" i="2"/>
  <c r="I94" i="2"/>
  <c r="J92" i="2"/>
  <c r="AH32" i="2"/>
  <c r="AC44" i="2"/>
  <c r="AL52" i="2"/>
  <c r="I52" i="2" s="1"/>
  <c r="AF44" i="2"/>
  <c r="N100" i="2"/>
  <c r="AL42" i="2"/>
  <c r="H42" i="2" s="1"/>
  <c r="AA43" i="2"/>
  <c r="AL7" i="7"/>
  <c r="R7" i="7" s="1"/>
  <c r="I92" i="2"/>
  <c r="I95" i="2"/>
  <c r="K96" i="2"/>
  <c r="N97" i="2"/>
  <c r="O99" i="2"/>
  <c r="AE47" i="2"/>
  <c r="AE28" i="2"/>
  <c r="N99" i="2"/>
  <c r="L97" i="2"/>
  <c r="O96" i="2"/>
  <c r="J95" i="2"/>
  <c r="M94" i="2"/>
  <c r="K92" i="2"/>
  <c r="AI26" i="2"/>
  <c r="AA26" i="2"/>
  <c r="AH28" i="2"/>
  <c r="AJ33" i="2"/>
  <c r="AB43" i="2"/>
  <c r="AJ43" i="2"/>
  <c r="AG44" i="2"/>
  <c r="AD45" i="2"/>
  <c r="AI46" i="2"/>
  <c r="AJ51" i="2"/>
  <c r="AG32" i="2"/>
  <c r="M99" i="2"/>
  <c r="K97" i="2"/>
  <c r="L94" i="2"/>
  <c r="O93" i="2"/>
  <c r="G93" i="2"/>
  <c r="AF29" i="2"/>
  <c r="AC26" i="2"/>
  <c r="AH29" i="2"/>
  <c r="AJ26" i="2"/>
  <c r="AJ34" i="2"/>
  <c r="AC43" i="2"/>
  <c r="AH44" i="2"/>
  <c r="AE45" i="2"/>
  <c r="AJ46" i="2"/>
  <c r="AG47" i="2"/>
  <c r="AI49" i="2"/>
  <c r="O98" i="2"/>
  <c r="M96" i="2"/>
  <c r="N93" i="2"/>
  <c r="AG27" i="2"/>
  <c r="AI32" i="2"/>
  <c r="AI29" i="2"/>
  <c r="AH30" i="2"/>
  <c r="AL30" i="2" s="1"/>
  <c r="D30" i="2" s="1"/>
  <c r="AJ27" i="2"/>
  <c r="AI44" i="2"/>
  <c r="K95" i="2"/>
  <c r="AN11" i="5"/>
  <c r="R11" i="5" s="1"/>
  <c r="AJ6" i="6"/>
  <c r="R6" i="6" s="1"/>
  <c r="AJ11" i="6"/>
  <c r="T11" i="6" s="1"/>
  <c r="AL9" i="7"/>
  <c r="M9" i="7" s="1"/>
  <c r="AL3" i="7"/>
  <c r="U3" i="7" s="1"/>
  <c r="AL12" i="7"/>
  <c r="O12" i="7" s="1"/>
  <c r="AL10" i="7"/>
  <c r="S10" i="7" s="1"/>
  <c r="AL8" i="7"/>
  <c r="O8" i="7" s="1"/>
  <c r="O95" i="2"/>
  <c r="AB26" i="2"/>
  <c r="AF31" i="2"/>
  <c r="AG28" i="2"/>
  <c r="AI33" i="2"/>
  <c r="AL33" i="2" s="1"/>
  <c r="K33" i="2" s="1"/>
  <c r="AH31" i="2"/>
  <c r="AJ28" i="2"/>
  <c r="AB44" i="2"/>
  <c r="AH50" i="2"/>
  <c r="AL50" i="2" s="1"/>
  <c r="AG49" i="2"/>
  <c r="AE27" i="2"/>
  <c r="AF43" i="2"/>
  <c r="AE46" i="2"/>
  <c r="AJ47" i="2"/>
  <c r="AG48" i="2"/>
  <c r="O97" i="2"/>
  <c r="J96" i="2"/>
  <c r="AI45" i="2"/>
  <c r="O94" i="2"/>
  <c r="J93" i="2"/>
  <c r="M92" i="2"/>
  <c r="AH26" i="2"/>
  <c r="AM26" i="7"/>
  <c r="W26" i="7" s="1"/>
  <c r="AL34" i="2"/>
  <c r="H34" i="2" s="1"/>
  <c r="AL36" i="2"/>
  <c r="J36" i="2" s="1"/>
  <c r="AL25" i="2"/>
  <c r="H25" i="2" s="1"/>
  <c r="AJ5" i="6"/>
  <c r="S5" i="6" s="1"/>
  <c r="AJ8" i="6"/>
  <c r="O8" i="6" s="1"/>
  <c r="AJ12" i="6"/>
  <c r="Q12" i="6" s="1"/>
  <c r="AM23" i="7"/>
  <c r="U23" i="7" s="1"/>
  <c r="J32" i="7"/>
  <c r="J31" i="7"/>
  <c r="AM24" i="7"/>
  <c r="S24" i="7" s="1"/>
  <c r="AM25" i="7"/>
  <c r="P25" i="7" s="1"/>
  <c r="AM27" i="7"/>
  <c r="U27" i="7" s="1"/>
  <c r="AM20" i="7"/>
  <c r="S20" i="7" s="1"/>
  <c r="AM28" i="7"/>
  <c r="R28" i="7" s="1"/>
  <c r="AM21" i="7"/>
  <c r="Q21" i="7" s="1"/>
  <c r="AM29" i="7"/>
  <c r="P29" i="7" s="1"/>
  <c r="AM22" i="7"/>
  <c r="W22" i="7" s="1"/>
  <c r="AM30" i="7"/>
  <c r="V30" i="7" s="1"/>
  <c r="AL5" i="7"/>
  <c r="M5" i="7" s="1"/>
  <c r="AL6" i="7"/>
  <c r="T6" i="7" s="1"/>
  <c r="AL4" i="7"/>
  <c r="P4" i="7" s="1"/>
  <c r="AJ27" i="6"/>
  <c r="Q27" i="6" s="1"/>
  <c r="J31" i="6"/>
  <c r="J30" i="6"/>
  <c r="AJ20" i="6"/>
  <c r="O20" i="6" s="1"/>
  <c r="AJ21" i="6"/>
  <c r="V21" i="6" s="1"/>
  <c r="AJ22" i="6"/>
  <c r="U22" i="6" s="1"/>
  <c r="AJ23" i="6"/>
  <c r="T23" i="6" s="1"/>
  <c r="AJ24" i="6"/>
  <c r="S24" i="6" s="1"/>
  <c r="AJ26" i="6"/>
  <c r="O26" i="6" s="1"/>
  <c r="AJ28" i="6"/>
  <c r="N28" i="6" s="1"/>
  <c r="AJ29" i="6"/>
  <c r="U29" i="6" s="1"/>
  <c r="AJ25" i="6"/>
  <c r="S25" i="6" s="1"/>
  <c r="AJ3" i="6"/>
  <c r="T3" i="6" s="1"/>
  <c r="AJ7" i="6"/>
  <c r="P7" i="6" s="1"/>
  <c r="AJ10" i="6"/>
  <c r="M10" i="6" s="1"/>
  <c r="AJ9" i="6"/>
  <c r="N9" i="6" s="1"/>
  <c r="U12" i="6"/>
  <c r="S12" i="6"/>
  <c r="Q4" i="6"/>
  <c r="V4" i="6"/>
  <c r="U4" i="6"/>
  <c r="AE20" i="3"/>
  <c r="AE11" i="3"/>
  <c r="AN3" i="5"/>
  <c r="U3" i="5" s="1"/>
  <c r="AN20" i="5"/>
  <c r="P20" i="5" s="1"/>
  <c r="AN22" i="5"/>
  <c r="J33" i="5"/>
  <c r="J32" i="5"/>
  <c r="AN21" i="5"/>
  <c r="AN27" i="5"/>
  <c r="AN23" i="5"/>
  <c r="AN25" i="5"/>
  <c r="AN29" i="5"/>
  <c r="AN31" i="5"/>
  <c r="AN26" i="5"/>
  <c r="AN30" i="5"/>
  <c r="AN28" i="5"/>
  <c r="AN24" i="5"/>
  <c r="AN10" i="5"/>
  <c r="N10" i="5" s="1"/>
  <c r="AN6" i="5"/>
  <c r="R6" i="5" s="1"/>
  <c r="AN12" i="5"/>
  <c r="O12" i="5" s="1"/>
  <c r="AN5" i="5"/>
  <c r="U5" i="5" s="1"/>
  <c r="AN8" i="5"/>
  <c r="T8" i="5" s="1"/>
  <c r="AN13" i="5"/>
  <c r="S13" i="5" s="1"/>
  <c r="AN4" i="5"/>
  <c r="P4" i="5" s="1"/>
  <c r="AN9" i="5"/>
  <c r="R9" i="5" s="1"/>
  <c r="AN7" i="5"/>
  <c r="M7" i="5" s="1"/>
  <c r="AN14" i="5"/>
  <c r="P14" i="5" s="1"/>
  <c r="AV21" i="4"/>
  <c r="AB21" i="4" s="1"/>
  <c r="AV30" i="4"/>
  <c r="N30" i="4" s="1"/>
  <c r="AV32" i="4"/>
  <c r="U32" i="4" s="1"/>
  <c r="AV27" i="4"/>
  <c r="S27" i="4" s="1"/>
  <c r="AV34" i="4"/>
  <c r="S34" i="4" s="1"/>
  <c r="AV26" i="4"/>
  <c r="O26" i="4" s="1"/>
  <c r="AV20" i="4"/>
  <c r="AB20" i="4" s="1"/>
  <c r="AV35" i="4"/>
  <c r="T35" i="4" s="1"/>
  <c r="AV33" i="4"/>
  <c r="M33" i="4" s="1"/>
  <c r="AV25" i="4"/>
  <c r="V25" i="4" s="1"/>
  <c r="AV24" i="4"/>
  <c r="AB24" i="4" s="1"/>
  <c r="AV28" i="4"/>
  <c r="M28" i="4" s="1"/>
  <c r="AV31" i="4"/>
  <c r="S31" i="4" s="1"/>
  <c r="AV23" i="4"/>
  <c r="W23" i="4" s="1"/>
  <c r="AV22" i="4"/>
  <c r="N22" i="4" s="1"/>
  <c r="AV29" i="4"/>
  <c r="R29" i="4" s="1"/>
  <c r="AV11" i="4"/>
  <c r="Y11" i="4" s="1"/>
  <c r="AV8" i="4"/>
  <c r="V8" i="4" s="1"/>
  <c r="AV6" i="4"/>
  <c r="T6" i="4" s="1"/>
  <c r="AV14" i="4"/>
  <c r="M14" i="4" s="1"/>
  <c r="AV7" i="4"/>
  <c r="P7" i="4" s="1"/>
  <c r="AV3" i="4"/>
  <c r="U3" i="4" s="1"/>
  <c r="AV17" i="4"/>
  <c r="R17" i="4" s="1"/>
  <c r="AV12" i="4"/>
  <c r="T12" i="4" s="1"/>
  <c r="AV9" i="4"/>
  <c r="W9" i="4" s="1"/>
  <c r="AV4" i="4"/>
  <c r="M4" i="4" s="1"/>
  <c r="AV5" i="4"/>
  <c r="N5" i="4" s="1"/>
  <c r="AV16" i="4"/>
  <c r="Q16" i="4" s="1"/>
  <c r="AV15" i="4"/>
  <c r="P15" i="4" s="1"/>
  <c r="AV13" i="4"/>
  <c r="Q13" i="4" s="1"/>
  <c r="AV10" i="4"/>
  <c r="R10" i="4" s="1"/>
  <c r="AV18" i="4"/>
  <c r="S18" i="4" s="1"/>
  <c r="S13" i="7"/>
  <c r="O11" i="7"/>
  <c r="Q10" i="7"/>
  <c r="M8" i="7"/>
  <c r="M4" i="7"/>
  <c r="R3" i="7"/>
  <c r="W11" i="7"/>
  <c r="N11" i="7"/>
  <c r="P10" i="7"/>
  <c r="U8" i="7"/>
  <c r="Q3" i="7"/>
  <c r="V11" i="7"/>
  <c r="M11" i="7"/>
  <c r="O10" i="7"/>
  <c r="Q9" i="7"/>
  <c r="T8" i="7"/>
  <c r="R5" i="7"/>
  <c r="P3" i="7"/>
  <c r="P13" i="7"/>
  <c r="T11" i="7"/>
  <c r="N10" i="7"/>
  <c r="U7" i="7"/>
  <c r="W3" i="7"/>
  <c r="O3" i="7"/>
  <c r="S11" i="7"/>
  <c r="M10" i="7"/>
  <c r="V13" i="7"/>
  <c r="N13" i="7"/>
  <c r="R11" i="7"/>
  <c r="P8" i="7"/>
  <c r="S7" i="7"/>
  <c r="N5" i="7"/>
  <c r="U13" i="7"/>
  <c r="S11" i="6"/>
  <c r="Q6" i="6"/>
  <c r="R11" i="6"/>
  <c r="V8" i="6"/>
  <c r="O6" i="6"/>
  <c r="Q5" i="6"/>
  <c r="Q11" i="6"/>
  <c r="U8" i="6"/>
  <c r="N6" i="6"/>
  <c r="T8" i="6"/>
  <c r="V6" i="6"/>
  <c r="M6" i="6"/>
  <c r="N5" i="6"/>
  <c r="U6" i="6"/>
  <c r="V5" i="6"/>
  <c r="M5" i="6"/>
  <c r="Q8" i="6"/>
  <c r="T6" i="6"/>
  <c r="U5" i="6"/>
  <c r="U3" i="6"/>
  <c r="S6" i="6"/>
  <c r="T5" i="6"/>
  <c r="P8" i="6"/>
  <c r="R3" i="5"/>
  <c r="X11" i="5"/>
  <c r="O11" i="5"/>
  <c r="W11" i="5"/>
  <c r="N11" i="5"/>
  <c r="P3" i="5"/>
  <c r="O3" i="5"/>
  <c r="T11" i="5"/>
  <c r="M11" i="5" l="1"/>
  <c r="Q11" i="5"/>
  <c r="S4" i="6"/>
  <c r="V11" i="5"/>
  <c r="U10" i="5"/>
  <c r="T4" i="6"/>
  <c r="T12" i="6"/>
  <c r="R12" i="7"/>
  <c r="AL32" i="2"/>
  <c r="F32" i="2" s="1"/>
  <c r="V9" i="7"/>
  <c r="V3" i="7"/>
  <c r="T5" i="7"/>
  <c r="T7" i="7"/>
  <c r="P12" i="7"/>
  <c r="O13" i="7"/>
  <c r="N3" i="7"/>
  <c r="R9" i="7"/>
  <c r="T9" i="7"/>
  <c r="AL48" i="2"/>
  <c r="M48" i="2" s="1"/>
  <c r="M12" i="7"/>
  <c r="N9" i="7"/>
  <c r="O9" i="7"/>
  <c r="M7" i="7"/>
  <c r="N7" i="7"/>
  <c r="U12" i="7"/>
  <c r="W9" i="7"/>
  <c r="U10" i="7"/>
  <c r="V10" i="7"/>
  <c r="W10" i="7"/>
  <c r="O7" i="7"/>
  <c r="S3" i="7"/>
  <c r="Q12" i="7"/>
  <c r="P11" i="7"/>
  <c r="J11" i="7" s="1"/>
  <c r="T3" i="7"/>
  <c r="P9" i="7"/>
  <c r="V7" i="7"/>
  <c r="W7" i="7"/>
  <c r="R10" i="7"/>
  <c r="Q8" i="7"/>
  <c r="Q13" i="7"/>
  <c r="N11" i="6"/>
  <c r="R13" i="7"/>
  <c r="O11" i="6"/>
  <c r="S8" i="7"/>
  <c r="T13" i="7"/>
  <c r="V8" i="7"/>
  <c r="V10" i="5"/>
  <c r="M4" i="6"/>
  <c r="P4" i="6"/>
  <c r="U9" i="7"/>
  <c r="N8" i="7"/>
  <c r="AL28" i="2"/>
  <c r="K28" i="2" s="1"/>
  <c r="O52" i="2"/>
  <c r="E52" i="2"/>
  <c r="E53" i="2"/>
  <c r="F53" i="2"/>
  <c r="J42" i="2"/>
  <c r="G53" i="2"/>
  <c r="L53" i="2"/>
  <c r="D53" i="2"/>
  <c r="J53" i="2"/>
  <c r="L42" i="2"/>
  <c r="M53" i="2"/>
  <c r="I53" i="2"/>
  <c r="J52" i="2"/>
  <c r="H52" i="2"/>
  <c r="D52" i="2"/>
  <c r="K53" i="2"/>
  <c r="G42" i="2"/>
  <c r="H53" i="2"/>
  <c r="N42" i="2"/>
  <c r="F52" i="2"/>
  <c r="K52" i="2"/>
  <c r="L52" i="2"/>
  <c r="O42" i="2"/>
  <c r="E42" i="2"/>
  <c r="N12" i="6"/>
  <c r="T12" i="7"/>
  <c r="AL27" i="2"/>
  <c r="E27" i="2" s="1"/>
  <c r="P5" i="6"/>
  <c r="R5" i="6"/>
  <c r="M11" i="6"/>
  <c r="O12" i="6"/>
  <c r="W12" i="7"/>
  <c r="AL49" i="2"/>
  <c r="I49" i="2" s="1"/>
  <c r="AL29" i="2"/>
  <c r="G29" i="2" s="1"/>
  <c r="AL31" i="2"/>
  <c r="I31" i="2" s="1"/>
  <c r="AL47" i="2"/>
  <c r="F47" i="2" s="1"/>
  <c r="AL51" i="2"/>
  <c r="D51" i="2" s="1"/>
  <c r="M12" i="6"/>
  <c r="S12" i="7"/>
  <c r="F42" i="2"/>
  <c r="M52" i="2"/>
  <c r="I42" i="2"/>
  <c r="K42" i="2"/>
  <c r="G52" i="2"/>
  <c r="M42" i="2"/>
  <c r="G50" i="2"/>
  <c r="I50" i="2"/>
  <c r="E50" i="2"/>
  <c r="J50" i="2"/>
  <c r="N50" i="2"/>
  <c r="H50" i="2"/>
  <c r="F50" i="2"/>
  <c r="K50" i="2"/>
  <c r="O50" i="2"/>
  <c r="D50" i="2"/>
  <c r="S11" i="5"/>
  <c r="X3" i="5"/>
  <c r="P11" i="5"/>
  <c r="M50" i="2"/>
  <c r="O4" i="6"/>
  <c r="P11" i="6"/>
  <c r="P7" i="7"/>
  <c r="N12" i="7"/>
  <c r="AL26" i="2"/>
  <c r="AL44" i="2"/>
  <c r="M44" i="2" s="1"/>
  <c r="AL43" i="2"/>
  <c r="J43" i="2" s="1"/>
  <c r="V3" i="5"/>
  <c r="S3" i="5"/>
  <c r="W3" i="5"/>
  <c r="N3" i="5"/>
  <c r="T3" i="5"/>
  <c r="AL46" i="2"/>
  <c r="I46" i="2" s="1"/>
  <c r="Q3" i="5"/>
  <c r="AL45" i="2"/>
  <c r="I45" i="2" s="1"/>
  <c r="R26" i="7"/>
  <c r="Q26" i="7"/>
  <c r="U26" i="7"/>
  <c r="M26" i="7"/>
  <c r="V11" i="6"/>
  <c r="J11" i="6" s="1"/>
  <c r="P12" i="6"/>
  <c r="R12" i="6"/>
  <c r="W8" i="7"/>
  <c r="N26" i="7"/>
  <c r="T26" i="7"/>
  <c r="P26" i="7"/>
  <c r="F25" i="2"/>
  <c r="E25" i="2"/>
  <c r="V26" i="7"/>
  <c r="O26" i="7"/>
  <c r="S8" i="6"/>
  <c r="N8" i="6"/>
  <c r="S5" i="7"/>
  <c r="M11" i="4"/>
  <c r="M8" i="6"/>
  <c r="F35" i="2"/>
  <c r="J32" i="2"/>
  <c r="N25" i="2"/>
  <c r="N30" i="2"/>
  <c r="I35" i="2"/>
  <c r="E34" i="2"/>
  <c r="D34" i="2"/>
  <c r="G35" i="2"/>
  <c r="J30" i="2"/>
  <c r="D35" i="2"/>
  <c r="J35" i="2"/>
  <c r="I34" i="2"/>
  <c r="G33" i="2"/>
  <c r="E33" i="2"/>
  <c r="I33" i="2"/>
  <c r="M35" i="2"/>
  <c r="O30" i="2"/>
  <c r="L25" i="2"/>
  <c r="M25" i="2"/>
  <c r="I25" i="2"/>
  <c r="K25" i="2"/>
  <c r="O35" i="2"/>
  <c r="F33" i="2"/>
  <c r="E36" i="2"/>
  <c r="J34" i="2"/>
  <c r="F34" i="2"/>
  <c r="H35" i="2"/>
  <c r="L34" i="2"/>
  <c r="N34" i="2"/>
  <c r="K35" i="2"/>
  <c r="L35" i="2"/>
  <c r="H36" i="2"/>
  <c r="M30" i="2"/>
  <c r="K36" i="2"/>
  <c r="I36" i="2"/>
  <c r="J33" i="2"/>
  <c r="M31" i="2"/>
  <c r="L36" i="2"/>
  <c r="L32" i="2"/>
  <c r="K34" i="2"/>
  <c r="O34" i="2"/>
  <c r="G34" i="2"/>
  <c r="M33" i="2"/>
  <c r="N27" i="2"/>
  <c r="D33" i="2"/>
  <c r="N33" i="2"/>
  <c r="H33" i="2"/>
  <c r="D31" i="2"/>
  <c r="G31" i="2"/>
  <c r="K30" i="2"/>
  <c r="G30" i="2"/>
  <c r="O33" i="2"/>
  <c r="D32" i="2"/>
  <c r="O32" i="2"/>
  <c r="D36" i="2"/>
  <c r="M36" i="2"/>
  <c r="N36" i="2"/>
  <c r="G36" i="2"/>
  <c r="E32" i="2"/>
  <c r="L31" i="2"/>
  <c r="F30" i="2"/>
  <c r="S23" i="7"/>
  <c r="Q28" i="7"/>
  <c r="G25" i="2"/>
  <c r="R20" i="7"/>
  <c r="V27" i="7"/>
  <c r="E30" i="2"/>
  <c r="N23" i="7"/>
  <c r="R23" i="7"/>
  <c r="H32" i="2"/>
  <c r="I32" i="2"/>
  <c r="H30" i="2"/>
  <c r="F36" i="2"/>
  <c r="L30" i="2"/>
  <c r="S27" i="7"/>
  <c r="O25" i="2"/>
  <c r="J25" i="2"/>
  <c r="R27" i="7"/>
  <c r="Q22" i="7"/>
  <c r="N25" i="7"/>
  <c r="Q20" i="7"/>
  <c r="P27" i="7"/>
  <c r="M27" i="7"/>
  <c r="W27" i="7"/>
  <c r="N27" i="7"/>
  <c r="Q27" i="7"/>
  <c r="O29" i="7"/>
  <c r="N29" i="7"/>
  <c r="O27" i="7"/>
  <c r="W20" i="7"/>
  <c r="R29" i="7"/>
  <c r="U29" i="7"/>
  <c r="U30" i="7"/>
  <c r="T30" i="7"/>
  <c r="S30" i="7"/>
  <c r="P24" i="7"/>
  <c r="O24" i="7"/>
  <c r="S22" i="7"/>
  <c r="M22" i="7"/>
  <c r="Q23" i="7"/>
  <c r="T23" i="7"/>
  <c r="N22" i="7"/>
  <c r="V22" i="7"/>
  <c r="O23" i="7"/>
  <c r="W23" i="7"/>
  <c r="M23" i="7"/>
  <c r="V23" i="7"/>
  <c r="W25" i="7"/>
  <c r="M21" i="7"/>
  <c r="U20" i="7"/>
  <c r="N30" i="7"/>
  <c r="U25" i="7"/>
  <c r="T25" i="7"/>
  <c r="O25" i="7"/>
  <c r="P20" i="7"/>
  <c r="V24" i="7"/>
  <c r="M24" i="7"/>
  <c r="O28" i="7"/>
  <c r="U24" i="7"/>
  <c r="T28" i="7"/>
  <c r="M25" i="7"/>
  <c r="W28" i="7"/>
  <c r="O20" i="7"/>
  <c r="N28" i="7"/>
  <c r="S25" i="7"/>
  <c r="R30" i="7"/>
  <c r="R24" i="7"/>
  <c r="U22" i="7"/>
  <c r="W24" i="7"/>
  <c r="V28" i="7"/>
  <c r="R22" i="7"/>
  <c r="P28" i="7"/>
  <c r="O21" i="7"/>
  <c r="V25" i="7"/>
  <c r="N24" i="7"/>
  <c r="M28" i="7"/>
  <c r="V20" i="7"/>
  <c r="T24" i="7"/>
  <c r="Q30" i="7"/>
  <c r="N20" i="7"/>
  <c r="Q25" i="7"/>
  <c r="V21" i="7"/>
  <c r="U21" i="7"/>
  <c r="W21" i="7"/>
  <c r="T21" i="7"/>
  <c r="S21" i="7"/>
  <c r="P21" i="7"/>
  <c r="T20" i="7"/>
  <c r="Q29" i="7"/>
  <c r="M30" i="7"/>
  <c r="W29" i="7"/>
  <c r="M29" i="7"/>
  <c r="T22" i="7"/>
  <c r="T29" i="7"/>
  <c r="S29" i="7"/>
  <c r="P30" i="7"/>
  <c r="S28" i="7"/>
  <c r="P22" i="7"/>
  <c r="R21" i="7"/>
  <c r="O30" i="7"/>
  <c r="Q6" i="7"/>
  <c r="U5" i="7"/>
  <c r="V5" i="7"/>
  <c r="W5" i="7"/>
  <c r="P5" i="7"/>
  <c r="Q5" i="7"/>
  <c r="V4" i="7"/>
  <c r="M6" i="7"/>
  <c r="Q4" i="7"/>
  <c r="R4" i="7"/>
  <c r="U6" i="7"/>
  <c r="N6" i="7"/>
  <c r="V6" i="7"/>
  <c r="R6" i="7"/>
  <c r="O6" i="7"/>
  <c r="W6" i="7"/>
  <c r="T4" i="7"/>
  <c r="U4" i="7"/>
  <c r="S4" i="7"/>
  <c r="W4" i="7"/>
  <c r="S6" i="7"/>
  <c r="O4" i="7"/>
  <c r="V23" i="6"/>
  <c r="O24" i="6"/>
  <c r="R24" i="6"/>
  <c r="T22" i="6"/>
  <c r="R23" i="6"/>
  <c r="U23" i="6"/>
  <c r="O23" i="6"/>
  <c r="M22" i="6"/>
  <c r="O27" i="6"/>
  <c r="R27" i="6"/>
  <c r="N23" i="6"/>
  <c r="S29" i="6"/>
  <c r="M29" i="6"/>
  <c r="V26" i="6"/>
  <c r="Q26" i="6"/>
  <c r="M26" i="6"/>
  <c r="O29" i="6"/>
  <c r="M21" i="6"/>
  <c r="P24" i="6"/>
  <c r="S27" i="6"/>
  <c r="T26" i="6"/>
  <c r="O21" i="6"/>
  <c r="U21" i="6"/>
  <c r="V24" i="6"/>
  <c r="R26" i="6"/>
  <c r="U27" i="6"/>
  <c r="M27" i="6"/>
  <c r="Q29" i="6"/>
  <c r="M24" i="6"/>
  <c r="V27" i="6"/>
  <c r="U26" i="6"/>
  <c r="P26" i="6"/>
  <c r="P27" i="6"/>
  <c r="N27" i="6"/>
  <c r="N26" i="6"/>
  <c r="Q22" i="6"/>
  <c r="S21" i="6"/>
  <c r="R21" i="6"/>
  <c r="P21" i="6"/>
  <c r="V22" i="6"/>
  <c r="T28" i="6"/>
  <c r="P28" i="6"/>
  <c r="T21" i="6"/>
  <c r="Q21" i="6"/>
  <c r="U24" i="6"/>
  <c r="S22" i="6"/>
  <c r="Q23" i="6"/>
  <c r="R28" i="6"/>
  <c r="M23" i="6"/>
  <c r="O28" i="6"/>
  <c r="R22" i="6"/>
  <c r="N24" i="6"/>
  <c r="N22" i="6"/>
  <c r="S23" i="6"/>
  <c r="P22" i="6"/>
  <c r="T29" i="6"/>
  <c r="V20" i="6"/>
  <c r="R29" i="6"/>
  <c r="T20" i="6"/>
  <c r="P29" i="6"/>
  <c r="R20" i="6"/>
  <c r="T25" i="6"/>
  <c r="V28" i="6"/>
  <c r="N20" i="6"/>
  <c r="S28" i="6"/>
  <c r="Q28" i="6"/>
  <c r="M28" i="6"/>
  <c r="S20" i="6"/>
  <c r="Q20" i="6"/>
  <c r="U20" i="6"/>
  <c r="N29" i="6"/>
  <c r="P20" i="6"/>
  <c r="T24" i="6"/>
  <c r="Q25" i="6"/>
  <c r="U25" i="6"/>
  <c r="O25" i="6"/>
  <c r="V25" i="6"/>
  <c r="N25" i="6"/>
  <c r="M25" i="6"/>
  <c r="P25" i="6"/>
  <c r="P3" i="6"/>
  <c r="V3" i="6"/>
  <c r="N3" i="6"/>
  <c r="N7" i="6"/>
  <c r="V7" i="6"/>
  <c r="Q3" i="6"/>
  <c r="S3" i="6"/>
  <c r="R3" i="6"/>
  <c r="O3" i="6"/>
  <c r="U7" i="6"/>
  <c r="U9" i="6"/>
  <c r="M9" i="6"/>
  <c r="R9" i="6"/>
  <c r="V9" i="6"/>
  <c r="R7" i="6"/>
  <c r="T7" i="6"/>
  <c r="U10" i="6"/>
  <c r="V10" i="6"/>
  <c r="S7" i="6"/>
  <c r="M7" i="6"/>
  <c r="Q9" i="6"/>
  <c r="P9" i="6"/>
  <c r="N10" i="6"/>
  <c r="R10" i="6"/>
  <c r="O7" i="6"/>
  <c r="O9" i="6"/>
  <c r="T9" i="6"/>
  <c r="S10" i="6"/>
  <c r="O10" i="6"/>
  <c r="P10" i="6"/>
  <c r="Q10" i="6"/>
  <c r="J6" i="6"/>
  <c r="V20" i="5"/>
  <c r="N20" i="5"/>
  <c r="R20" i="5"/>
  <c r="O20" i="5"/>
  <c r="J5" i="6"/>
  <c r="S20" i="5"/>
  <c r="X20" i="5"/>
  <c r="T20" i="5"/>
  <c r="P10" i="5"/>
  <c r="U20" i="5"/>
  <c r="Q20" i="5"/>
  <c r="W20" i="5"/>
  <c r="X10" i="5"/>
  <c r="M6" i="5"/>
  <c r="O10" i="5"/>
  <c r="Q6" i="5"/>
  <c r="T6" i="5"/>
  <c r="N6" i="5"/>
  <c r="T5" i="5"/>
  <c r="Q10" i="5"/>
  <c r="M10" i="5"/>
  <c r="W10" i="5"/>
  <c r="R10" i="5"/>
  <c r="S10" i="5"/>
  <c r="X12" i="5"/>
  <c r="S8" i="5"/>
  <c r="O6" i="5"/>
  <c r="X6" i="5"/>
  <c r="S6" i="5"/>
  <c r="U6" i="5"/>
  <c r="V6" i="5"/>
  <c r="W6" i="5"/>
  <c r="S5" i="5"/>
  <c r="W12" i="5"/>
  <c r="N12" i="5"/>
  <c r="P5" i="5"/>
  <c r="R5" i="5"/>
  <c r="R12" i="5"/>
  <c r="W5" i="5"/>
  <c r="M12" i="5"/>
  <c r="S12" i="5"/>
  <c r="Q12" i="5"/>
  <c r="P12" i="5"/>
  <c r="X8" i="5"/>
  <c r="M5" i="5"/>
  <c r="V5" i="5"/>
  <c r="T12" i="5"/>
  <c r="U12" i="5"/>
  <c r="X13" i="5"/>
  <c r="N5" i="5"/>
  <c r="X5" i="5"/>
  <c r="U8" i="5"/>
  <c r="M8" i="5"/>
  <c r="V8" i="5"/>
  <c r="W8" i="5"/>
  <c r="P8" i="5"/>
  <c r="Q5" i="5"/>
  <c r="M9" i="5"/>
  <c r="V9" i="5"/>
  <c r="Q4" i="5"/>
  <c r="W9" i="5"/>
  <c r="X9" i="5"/>
  <c r="N9" i="5"/>
  <c r="U4" i="5"/>
  <c r="W4" i="5"/>
  <c r="R7" i="5"/>
  <c r="X7" i="5"/>
  <c r="N13" i="5"/>
  <c r="M13" i="5"/>
  <c r="T13" i="5"/>
  <c r="M4" i="5"/>
  <c r="X4" i="5"/>
  <c r="V4" i="5"/>
  <c r="S4" i="5"/>
  <c r="R4" i="5"/>
  <c r="T4" i="5"/>
  <c r="O8" i="5"/>
  <c r="N8" i="5"/>
  <c r="Q8" i="5"/>
  <c r="R13" i="5"/>
  <c r="V13" i="5"/>
  <c r="Q9" i="5"/>
  <c r="U9" i="5"/>
  <c r="O9" i="5"/>
  <c r="T9" i="5"/>
  <c r="P9" i="5"/>
  <c r="U13" i="5"/>
  <c r="Q13" i="5"/>
  <c r="O13" i="5"/>
  <c r="P13" i="5"/>
  <c r="O4" i="5"/>
  <c r="V7" i="5"/>
  <c r="W7" i="5"/>
  <c r="N7" i="5"/>
  <c r="S7" i="5"/>
  <c r="T7" i="5"/>
  <c r="U7" i="5"/>
  <c r="P7" i="5"/>
  <c r="V14" i="5"/>
  <c r="U14" i="5"/>
  <c r="N14" i="5"/>
  <c r="O7" i="5"/>
  <c r="O14" i="5"/>
  <c r="W14" i="5"/>
  <c r="S14" i="5"/>
  <c r="T14" i="5"/>
  <c r="R14" i="5"/>
  <c r="M14" i="5"/>
  <c r="Q14" i="5"/>
  <c r="M22" i="4"/>
  <c r="T22" i="4"/>
  <c r="Z22" i="4"/>
  <c r="U20" i="4"/>
  <c r="O20" i="4"/>
  <c r="T21" i="4"/>
  <c r="V21" i="4"/>
  <c r="T20" i="4"/>
  <c r="AB22" i="4"/>
  <c r="Q20" i="4"/>
  <c r="W20" i="4"/>
  <c r="X20" i="4"/>
  <c r="S22" i="4"/>
  <c r="R20" i="4"/>
  <c r="Q22" i="4"/>
  <c r="S20" i="4"/>
  <c r="V22" i="4"/>
  <c r="AA20" i="4"/>
  <c r="V26" i="4"/>
  <c r="AA33" i="4"/>
  <c r="Y35" i="4"/>
  <c r="Q33" i="4"/>
  <c r="U21" i="4"/>
  <c r="AB26" i="4"/>
  <c r="U30" i="4"/>
  <c r="N26" i="4"/>
  <c r="Q21" i="4"/>
  <c r="O21" i="4"/>
  <c r="Z32" i="4"/>
  <c r="O25" i="4"/>
  <c r="AB34" i="4"/>
  <c r="N35" i="4"/>
  <c r="V33" i="4"/>
  <c r="R32" i="4"/>
  <c r="R21" i="4"/>
  <c r="O29" i="4"/>
  <c r="W33" i="4"/>
  <c r="O30" i="4"/>
  <c r="T33" i="4"/>
  <c r="U33" i="4"/>
  <c r="AA21" i="4"/>
  <c r="Y33" i="4"/>
  <c r="U35" i="4"/>
  <c r="W35" i="4"/>
  <c r="O32" i="4"/>
  <c r="S21" i="4"/>
  <c r="P35" i="4"/>
  <c r="U23" i="4"/>
  <c r="Q26" i="4"/>
  <c r="Z31" i="4"/>
  <c r="M26" i="4"/>
  <c r="AA31" i="4"/>
  <c r="Q32" i="4"/>
  <c r="M32" i="4"/>
  <c r="R26" i="4"/>
  <c r="P27" i="4"/>
  <c r="U26" i="4"/>
  <c r="U34" i="4"/>
  <c r="N34" i="4"/>
  <c r="Q27" i="4"/>
  <c r="Q30" i="4"/>
  <c r="O34" i="4"/>
  <c r="T26" i="4"/>
  <c r="V34" i="4"/>
  <c r="U31" i="4"/>
  <c r="X30" i="4"/>
  <c r="AA27" i="4"/>
  <c r="AB25" i="4"/>
  <c r="W34" i="4"/>
  <c r="U27" i="4"/>
  <c r="V35" i="4"/>
  <c r="O35" i="4"/>
  <c r="O33" i="4"/>
  <c r="W32" i="4"/>
  <c r="P30" i="4"/>
  <c r="Z21" i="4"/>
  <c r="X21" i="4"/>
  <c r="N33" i="4"/>
  <c r="X35" i="4"/>
  <c r="P26" i="4"/>
  <c r="Z27" i="4"/>
  <c r="M25" i="4"/>
  <c r="AA25" i="4"/>
  <c r="U25" i="4"/>
  <c r="W28" i="4"/>
  <c r="P34" i="4"/>
  <c r="V30" i="4"/>
  <c r="M30" i="4"/>
  <c r="O24" i="4"/>
  <c r="P21" i="4"/>
  <c r="X27" i="4"/>
  <c r="P25" i="4"/>
  <c r="W24" i="4"/>
  <c r="X25" i="4"/>
  <c r="AB30" i="4"/>
  <c r="M27" i="4"/>
  <c r="M34" i="4"/>
  <c r="Q35" i="4"/>
  <c r="AA30" i="4"/>
  <c r="Y30" i="4"/>
  <c r="S24" i="4"/>
  <c r="W21" i="4"/>
  <c r="X33" i="4"/>
  <c r="T28" i="4"/>
  <c r="S33" i="4"/>
  <c r="X34" i="4"/>
  <c r="V32" i="4"/>
  <c r="AB23" i="4"/>
  <c r="AA26" i="4"/>
  <c r="T34" i="4"/>
  <c r="V27" i="4"/>
  <c r="S23" i="4"/>
  <c r="P28" i="4"/>
  <c r="Z28" i="4"/>
  <c r="T32" i="4"/>
  <c r="Z30" i="4"/>
  <c r="AB28" i="4"/>
  <c r="W26" i="4"/>
  <c r="AB27" i="4"/>
  <c r="P32" i="4"/>
  <c r="S25" i="4"/>
  <c r="M35" i="4"/>
  <c r="O28" i="4"/>
  <c r="AA23" i="4"/>
  <c r="X28" i="4"/>
  <c r="M23" i="4"/>
  <c r="M31" i="4"/>
  <c r="X24" i="4"/>
  <c r="S32" i="4"/>
  <c r="R30" i="4"/>
  <c r="M21" i="4"/>
  <c r="Y21" i="4"/>
  <c r="N23" i="4"/>
  <c r="Q23" i="4"/>
  <c r="Q34" i="4"/>
  <c r="S28" i="4"/>
  <c r="N28" i="4"/>
  <c r="O27" i="4"/>
  <c r="Y27" i="4"/>
  <c r="AA28" i="4"/>
  <c r="Z25" i="4"/>
  <c r="V28" i="4"/>
  <c r="N27" i="4"/>
  <c r="W27" i="4"/>
  <c r="R28" i="4"/>
  <c r="R27" i="4"/>
  <c r="N32" i="4"/>
  <c r="T30" i="4"/>
  <c r="S30" i="4"/>
  <c r="Z34" i="4"/>
  <c r="Z23" i="4"/>
  <c r="N25" i="4"/>
  <c r="R34" i="4"/>
  <c r="AB32" i="4"/>
  <c r="T25" i="4"/>
  <c r="W25" i="4"/>
  <c r="X32" i="4"/>
  <c r="AA32" i="4"/>
  <c r="T29" i="4"/>
  <c r="N29" i="4"/>
  <c r="Y24" i="4"/>
  <c r="Y34" i="4"/>
  <c r="Y25" i="4"/>
  <c r="P33" i="4"/>
  <c r="AB33" i="4"/>
  <c r="Y31" i="4"/>
  <c r="O31" i="4"/>
  <c r="AA29" i="4"/>
  <c r="AB29" i="4"/>
  <c r="M29" i="4"/>
  <c r="Y29" i="4"/>
  <c r="Q29" i="4"/>
  <c r="Z35" i="4"/>
  <c r="X29" i="4"/>
  <c r="AA35" i="4"/>
  <c r="Z29" i="4"/>
  <c r="P29" i="4"/>
  <c r="U29" i="4"/>
  <c r="W29" i="4"/>
  <c r="V24" i="4"/>
  <c r="AB31" i="4"/>
  <c r="Q25" i="4"/>
  <c r="Z24" i="4"/>
  <c r="P31" i="4"/>
  <c r="Q31" i="4"/>
  <c r="R31" i="4"/>
  <c r="Q28" i="4"/>
  <c r="V31" i="4"/>
  <c r="Y28" i="4"/>
  <c r="Z26" i="4"/>
  <c r="V23" i="4"/>
  <c r="N20" i="4"/>
  <c r="X22" i="4"/>
  <c r="V20" i="4"/>
  <c r="P20" i="4"/>
  <c r="X26" i="4"/>
  <c r="Y26" i="4"/>
  <c r="W22" i="4"/>
  <c r="R24" i="4"/>
  <c r="T31" i="4"/>
  <c r="W31" i="4"/>
  <c r="N31" i="4"/>
  <c r="R22" i="4"/>
  <c r="P24" i="4"/>
  <c r="N24" i="4"/>
  <c r="X23" i="4"/>
  <c r="Y23" i="4"/>
  <c r="M24" i="4"/>
  <c r="R23" i="4"/>
  <c r="Y22" i="4"/>
  <c r="AA24" i="4"/>
  <c r="O23" i="4"/>
  <c r="T23" i="4"/>
  <c r="Z20" i="4"/>
  <c r="AA22" i="4"/>
  <c r="U22" i="4"/>
  <c r="P22" i="4"/>
  <c r="S29" i="4"/>
  <c r="U24" i="4"/>
  <c r="T24" i="4"/>
  <c r="Y20" i="4"/>
  <c r="R35" i="4"/>
  <c r="S35" i="4"/>
  <c r="R33" i="4"/>
  <c r="V11" i="4"/>
  <c r="T11" i="4"/>
  <c r="S11" i="4"/>
  <c r="N11" i="4"/>
  <c r="AB11" i="4"/>
  <c r="AA11" i="4"/>
  <c r="R11" i="4"/>
  <c r="Z11" i="4"/>
  <c r="Q11" i="4"/>
  <c r="X11" i="4"/>
  <c r="O11" i="4"/>
  <c r="P11" i="4"/>
  <c r="W11" i="4"/>
  <c r="Y8" i="4"/>
  <c r="O8" i="4"/>
  <c r="X8" i="4"/>
  <c r="T8" i="4"/>
  <c r="AA8" i="4"/>
  <c r="S8" i="4"/>
  <c r="Z8" i="4"/>
  <c r="AB6" i="4"/>
  <c r="W8" i="4"/>
  <c r="Q8" i="4"/>
  <c r="M8" i="4"/>
  <c r="N8" i="4"/>
  <c r="P8" i="4"/>
  <c r="U8" i="4"/>
  <c r="AB8" i="4"/>
  <c r="AA6" i="4"/>
  <c r="Q6" i="4"/>
  <c r="P14" i="4"/>
  <c r="S14" i="4"/>
  <c r="W14" i="4"/>
  <c r="U14" i="4"/>
  <c r="T7" i="4"/>
  <c r="S6" i="4"/>
  <c r="Z6" i="4"/>
  <c r="R6" i="4"/>
  <c r="W6" i="4"/>
  <c r="V6" i="4"/>
  <c r="X6" i="4"/>
  <c r="M6" i="4"/>
  <c r="U6" i="4"/>
  <c r="O14" i="4"/>
  <c r="Y6" i="4"/>
  <c r="N14" i="4"/>
  <c r="O6" i="4"/>
  <c r="N6" i="4"/>
  <c r="N39" i="4" s="1"/>
  <c r="V14" i="4"/>
  <c r="T14" i="4"/>
  <c r="AA14" i="4"/>
  <c r="Y14" i="4"/>
  <c r="V7" i="4"/>
  <c r="N7" i="4"/>
  <c r="Z7" i="4"/>
  <c r="AA7" i="4"/>
  <c r="M7" i="4"/>
  <c r="AB14" i="4"/>
  <c r="R14" i="4"/>
  <c r="Z14" i="4"/>
  <c r="Y7" i="4"/>
  <c r="W7" i="4"/>
  <c r="Q14" i="4"/>
  <c r="X3" i="4"/>
  <c r="N3" i="4"/>
  <c r="Z17" i="4"/>
  <c r="T17" i="4"/>
  <c r="P17" i="4"/>
  <c r="AB17" i="4"/>
  <c r="Q17" i="4"/>
  <c r="AB7" i="4"/>
  <c r="U7" i="4"/>
  <c r="O7" i="4"/>
  <c r="R7" i="4"/>
  <c r="S7" i="4"/>
  <c r="X7" i="4"/>
  <c r="S3" i="4"/>
  <c r="Y3" i="4"/>
  <c r="Q3" i="4"/>
  <c r="P3" i="4"/>
  <c r="AB3" i="4"/>
  <c r="R3" i="4"/>
  <c r="T3" i="4"/>
  <c r="O3" i="4"/>
  <c r="W3" i="4"/>
  <c r="Z3" i="4"/>
  <c r="AA3" i="4"/>
  <c r="V3" i="4"/>
  <c r="Q9" i="4"/>
  <c r="P12" i="4"/>
  <c r="U12" i="4"/>
  <c r="M12" i="4"/>
  <c r="Z9" i="4"/>
  <c r="M9" i="4"/>
  <c r="V17" i="4"/>
  <c r="X17" i="4"/>
  <c r="M17" i="4"/>
  <c r="N17" i="4"/>
  <c r="U17" i="4"/>
  <c r="W17" i="4"/>
  <c r="Y17" i="4"/>
  <c r="O17" i="4"/>
  <c r="S17" i="4"/>
  <c r="R5" i="4"/>
  <c r="Q5" i="4"/>
  <c r="Q12" i="4"/>
  <c r="R12" i="4"/>
  <c r="AA12" i="4"/>
  <c r="S12" i="4"/>
  <c r="Y12" i="4"/>
  <c r="AB12" i="4"/>
  <c r="O12" i="4"/>
  <c r="W12" i="4"/>
  <c r="X12" i="4"/>
  <c r="N12" i="4"/>
  <c r="Z12" i="4"/>
  <c r="V9" i="4"/>
  <c r="W10" i="4"/>
  <c r="N10" i="4"/>
  <c r="U9" i="4"/>
  <c r="AB9" i="4"/>
  <c r="N9" i="4"/>
  <c r="AA9" i="4"/>
  <c r="X9" i="4"/>
  <c r="R9" i="4"/>
  <c r="P9" i="4"/>
  <c r="T9" i="4"/>
  <c r="Y9" i="4"/>
  <c r="O9" i="4"/>
  <c r="V16" i="4"/>
  <c r="X16" i="4"/>
  <c r="X4" i="4"/>
  <c r="Y4" i="4"/>
  <c r="P4" i="4"/>
  <c r="W4" i="4"/>
  <c r="R4" i="4"/>
  <c r="Z4" i="4"/>
  <c r="O4" i="4"/>
  <c r="AA4" i="4"/>
  <c r="V4" i="4"/>
  <c r="U4" i="4"/>
  <c r="T4" i="4"/>
  <c r="S4" i="4"/>
  <c r="Q4" i="4"/>
  <c r="AB4" i="4"/>
  <c r="S16" i="4"/>
  <c r="T16" i="4"/>
  <c r="AB16" i="4"/>
  <c r="N16" i="4"/>
  <c r="S15" i="4"/>
  <c r="Y16" i="4"/>
  <c r="R16" i="4"/>
  <c r="AA16" i="4"/>
  <c r="U16" i="4"/>
  <c r="M16" i="4"/>
  <c r="O16" i="4"/>
  <c r="P16" i="4"/>
  <c r="W16" i="4"/>
  <c r="M15" i="4"/>
  <c r="W15" i="4"/>
  <c r="O15" i="4"/>
  <c r="Q15" i="4"/>
  <c r="T15" i="4"/>
  <c r="Z15" i="4"/>
  <c r="V15" i="4"/>
  <c r="U15" i="4"/>
  <c r="N15" i="4"/>
  <c r="AA15" i="4"/>
  <c r="AB15" i="4"/>
  <c r="R13" i="4"/>
  <c r="V10" i="4"/>
  <c r="AA10" i="4"/>
  <c r="X10" i="4"/>
  <c r="P10" i="4"/>
  <c r="M10" i="4"/>
  <c r="W5" i="4"/>
  <c r="T5" i="4"/>
  <c r="AA5" i="4"/>
  <c r="V5" i="4"/>
  <c r="AB5" i="4"/>
  <c r="Z5" i="4"/>
  <c r="S5" i="4"/>
  <c r="M5" i="4"/>
  <c r="U5" i="4"/>
  <c r="Y5" i="4"/>
  <c r="X5" i="4"/>
  <c r="P5" i="4"/>
  <c r="W18" i="4"/>
  <c r="AA18" i="4"/>
  <c r="X18" i="4"/>
  <c r="Q18" i="4"/>
  <c r="O18" i="4"/>
  <c r="T18" i="4"/>
  <c r="N18" i="4"/>
  <c r="R18" i="4"/>
  <c r="U18" i="4"/>
  <c r="X15" i="4"/>
  <c r="R15" i="4"/>
  <c r="Z13" i="4"/>
  <c r="AB13" i="4"/>
  <c r="V13" i="4"/>
  <c r="AA13" i="4"/>
  <c r="N13" i="4"/>
  <c r="T13" i="4"/>
  <c r="S13" i="4"/>
  <c r="Y13" i="4"/>
  <c r="M13" i="4"/>
  <c r="O13" i="4"/>
  <c r="U13" i="4"/>
  <c r="X13" i="4"/>
  <c r="P13" i="4"/>
  <c r="Q10" i="4"/>
  <c r="Z10" i="4"/>
  <c r="AB10" i="4"/>
  <c r="U10" i="4"/>
  <c r="Y10" i="4"/>
  <c r="S10" i="4"/>
  <c r="O10" i="4"/>
  <c r="V18" i="4"/>
  <c r="Y18" i="4"/>
  <c r="M18" i="4"/>
  <c r="P18" i="4"/>
  <c r="Z18" i="4"/>
  <c r="AE10" i="3"/>
  <c r="G32" i="2" l="1"/>
  <c r="J3" i="5"/>
  <c r="J4" i="6"/>
  <c r="M32" i="2"/>
  <c r="H27" i="2"/>
  <c r="N32" i="2"/>
  <c r="F31" i="2"/>
  <c r="E28" i="2"/>
  <c r="J3" i="7"/>
  <c r="I26" i="2"/>
  <c r="J26" i="2"/>
  <c r="J28" i="2"/>
  <c r="M28" i="2"/>
  <c r="L28" i="2"/>
  <c r="N28" i="2"/>
  <c r="I28" i="2"/>
  <c r="D28" i="2"/>
  <c r="O28" i="2"/>
  <c r="J12" i="7"/>
  <c r="J10" i="7"/>
  <c r="H6" i="7"/>
  <c r="J9" i="7"/>
  <c r="J7" i="7"/>
  <c r="M15" i="7"/>
  <c r="N48" i="2"/>
  <c r="L48" i="2"/>
  <c r="G48" i="2"/>
  <c r="O48" i="2"/>
  <c r="F48" i="2"/>
  <c r="D48" i="2"/>
  <c r="E48" i="2"/>
  <c r="I48" i="2"/>
  <c r="K48" i="2"/>
  <c r="H48" i="2"/>
  <c r="J13" i="7"/>
  <c r="K29" i="2"/>
  <c r="K27" i="2"/>
  <c r="D29" i="2"/>
  <c r="H10" i="7"/>
  <c r="F28" i="2"/>
  <c r="I29" i="2"/>
  <c r="O29" i="2"/>
  <c r="H31" i="2"/>
  <c r="I27" i="2"/>
  <c r="M29" i="2"/>
  <c r="G27" i="2"/>
  <c r="J8" i="7"/>
  <c r="O27" i="2"/>
  <c r="H28" i="2"/>
  <c r="L27" i="2"/>
  <c r="N29" i="2"/>
  <c r="J29" i="2"/>
  <c r="H3" i="6"/>
  <c r="N31" i="2"/>
  <c r="F29" i="2"/>
  <c r="L29" i="2"/>
  <c r="J11" i="5"/>
  <c r="O47" i="2"/>
  <c r="I44" i="2"/>
  <c r="H44" i="2"/>
  <c r="E47" i="2"/>
  <c r="K43" i="2"/>
  <c r="M49" i="2"/>
  <c r="J51" i="2"/>
  <c r="O49" i="2"/>
  <c r="G51" i="2"/>
  <c r="G47" i="2"/>
  <c r="M47" i="2"/>
  <c r="G49" i="2"/>
  <c r="L49" i="2"/>
  <c r="K44" i="2"/>
  <c r="L47" i="2"/>
  <c r="O51" i="2"/>
  <c r="E49" i="2"/>
  <c r="K47" i="2"/>
  <c r="F51" i="2"/>
  <c r="H47" i="2"/>
  <c r="N49" i="2"/>
  <c r="O26" i="2"/>
  <c r="M27" i="2"/>
  <c r="K31" i="2"/>
  <c r="E31" i="2"/>
  <c r="J12" i="6"/>
  <c r="O45" i="2"/>
  <c r="E51" i="2"/>
  <c r="J47" i="2"/>
  <c r="H51" i="2"/>
  <c r="L51" i="2"/>
  <c r="F49" i="2"/>
  <c r="D47" i="2"/>
  <c r="I51" i="2"/>
  <c r="N47" i="2"/>
  <c r="N51" i="2"/>
  <c r="J8" i="6"/>
  <c r="F46" i="2"/>
  <c r="N15" i="7"/>
  <c r="D27" i="2"/>
  <c r="O31" i="2"/>
  <c r="J27" i="2"/>
  <c r="E29" i="2"/>
  <c r="J46" i="2"/>
  <c r="K51" i="2"/>
  <c r="J49" i="2"/>
  <c r="D49" i="2"/>
  <c r="H49" i="2"/>
  <c r="I43" i="2"/>
  <c r="K45" i="2"/>
  <c r="G44" i="2"/>
  <c r="O44" i="2"/>
  <c r="O43" i="2"/>
  <c r="D45" i="2"/>
  <c r="N44" i="2"/>
  <c r="J44" i="2"/>
  <c r="H43" i="2"/>
  <c r="L45" i="2"/>
  <c r="E44" i="2"/>
  <c r="G43" i="2"/>
  <c r="J45" i="2"/>
  <c r="L44" i="2"/>
  <c r="F43" i="2"/>
  <c r="N43" i="2"/>
  <c r="N45" i="2"/>
  <c r="D44" i="2"/>
  <c r="L43" i="2"/>
  <c r="M43" i="2"/>
  <c r="E45" i="2"/>
  <c r="D43" i="2"/>
  <c r="F45" i="2"/>
  <c r="G26" i="2"/>
  <c r="F26" i="2"/>
  <c r="M26" i="2"/>
  <c r="K46" i="2"/>
  <c r="G46" i="2"/>
  <c r="M45" i="2"/>
  <c r="L26" i="2"/>
  <c r="K26" i="2"/>
  <c r="O46" i="2"/>
  <c r="L46" i="2"/>
  <c r="H45" i="2"/>
  <c r="D26" i="2"/>
  <c r="N46" i="2"/>
  <c r="E46" i="2"/>
  <c r="M46" i="2"/>
  <c r="D46" i="2"/>
  <c r="H26" i="2"/>
  <c r="N26" i="2"/>
  <c r="J26" i="7"/>
  <c r="J27" i="7"/>
  <c r="J23" i="7"/>
  <c r="J25" i="7"/>
  <c r="J24" i="7"/>
  <c r="J28" i="7"/>
  <c r="J20" i="7"/>
  <c r="J22" i="7"/>
  <c r="I13" i="7"/>
  <c r="J30" i="7"/>
  <c r="J21" i="7"/>
  <c r="J29" i="7"/>
  <c r="J5" i="7"/>
  <c r="H7" i="7"/>
  <c r="H12" i="7"/>
  <c r="H3" i="7"/>
  <c r="H11" i="7"/>
  <c r="H8" i="7"/>
  <c r="H4" i="7"/>
  <c r="J6" i="7"/>
  <c r="H5" i="7"/>
  <c r="H9" i="7"/>
  <c r="H13" i="7"/>
  <c r="J4" i="7"/>
  <c r="J26" i="6"/>
  <c r="J21" i="6"/>
  <c r="J27" i="6"/>
  <c r="J23" i="6"/>
  <c r="J22" i="6"/>
  <c r="J24" i="6"/>
  <c r="J20" i="6"/>
  <c r="J28" i="6"/>
  <c r="J29" i="6"/>
  <c r="J25" i="6"/>
  <c r="N14" i="6"/>
  <c r="H4" i="6"/>
  <c r="J3" i="6"/>
  <c r="H12" i="6"/>
  <c r="H6" i="6"/>
  <c r="H11" i="6"/>
  <c r="H10" i="6"/>
  <c r="M14" i="6"/>
  <c r="H8" i="6"/>
  <c r="H9" i="6"/>
  <c r="J7" i="6"/>
  <c r="H7" i="6"/>
  <c r="J9" i="6"/>
  <c r="H5" i="6"/>
  <c r="J10" i="6"/>
  <c r="J20" i="5"/>
  <c r="J13" i="5"/>
  <c r="J10" i="5"/>
  <c r="J7" i="5"/>
  <c r="J8" i="4"/>
  <c r="J5" i="5"/>
  <c r="J14" i="5"/>
  <c r="J8" i="5"/>
  <c r="J9" i="5"/>
  <c r="J12" i="5"/>
  <c r="J4" i="5"/>
  <c r="J6" i="5"/>
  <c r="H6" i="5"/>
  <c r="H13" i="5"/>
  <c r="H14" i="5"/>
  <c r="H3" i="5"/>
  <c r="H9" i="5"/>
  <c r="H8" i="5"/>
  <c r="H12" i="5"/>
  <c r="H10" i="5"/>
  <c r="H5" i="5"/>
  <c r="H7" i="5"/>
  <c r="H4" i="5"/>
  <c r="N16" i="5"/>
  <c r="H11" i="5"/>
  <c r="M16" i="5"/>
  <c r="M39" i="4"/>
  <c r="AE5" i="3"/>
  <c r="Q5" i="3" s="1"/>
  <c r="S10" i="3"/>
  <c r="AE6" i="3"/>
  <c r="O6" i="3" s="1"/>
  <c r="J29" i="3"/>
  <c r="J30" i="3"/>
  <c r="E6" i="2" l="1"/>
  <c r="C6" i="2" s="1"/>
  <c r="E17" i="2"/>
  <c r="E16" i="2"/>
  <c r="E15" i="2"/>
  <c r="E14" i="2"/>
  <c r="E13" i="2"/>
  <c r="E12" i="2"/>
  <c r="E11" i="2"/>
  <c r="E9" i="2"/>
  <c r="E10" i="2"/>
  <c r="E7" i="2"/>
  <c r="E8" i="2"/>
  <c r="AE4" i="3"/>
  <c r="O4" i="3" s="1"/>
  <c r="AE26" i="3"/>
  <c r="AE7" i="3"/>
  <c r="O7" i="3" s="1"/>
  <c r="AE9" i="3"/>
  <c r="N9" i="3" s="1"/>
  <c r="P5" i="3"/>
  <c r="AE3" i="3"/>
  <c r="N3" i="3" s="1"/>
  <c r="AE28" i="3"/>
  <c r="Q11" i="3"/>
  <c r="AE27" i="3"/>
  <c r="M10" i="3"/>
  <c r="AE8" i="3"/>
  <c r="S8" i="3" s="1"/>
  <c r="AE24" i="3"/>
  <c r="U10" i="3"/>
  <c r="O10" i="3"/>
  <c r="N10" i="3"/>
  <c r="Q10" i="3"/>
  <c r="P10" i="3"/>
  <c r="R10" i="3"/>
  <c r="AE25" i="3"/>
  <c r="AE22" i="3"/>
  <c r="AE23" i="3"/>
  <c r="AE21" i="3"/>
  <c r="U6" i="3"/>
  <c r="M6" i="3"/>
  <c r="T5" i="3"/>
  <c r="N6" i="3"/>
  <c r="T6" i="3"/>
  <c r="U5" i="3"/>
  <c r="M5" i="3"/>
  <c r="S5" i="3"/>
  <c r="R5" i="3"/>
  <c r="S6" i="3"/>
  <c r="N5" i="3"/>
  <c r="R6" i="3"/>
  <c r="Q6" i="3"/>
  <c r="I12" i="7"/>
  <c r="G12" i="7" s="1"/>
  <c r="I11" i="7"/>
  <c r="G11" i="7" s="1"/>
  <c r="I10" i="7"/>
  <c r="G10" i="7" s="1"/>
  <c r="I9" i="7"/>
  <c r="G9" i="7" s="1"/>
  <c r="I8" i="7"/>
  <c r="G8" i="7" s="1"/>
  <c r="I7" i="7"/>
  <c r="I6" i="7"/>
  <c r="G6" i="7" s="1"/>
  <c r="I5" i="7"/>
  <c r="G5" i="7" s="1"/>
  <c r="I4" i="7"/>
  <c r="G4" i="7" s="1"/>
  <c r="I3" i="7"/>
  <c r="G3" i="7" s="1"/>
  <c r="I12" i="6"/>
  <c r="G12" i="6" s="1"/>
  <c r="I11" i="6"/>
  <c r="G11" i="6" s="1"/>
  <c r="I10" i="6"/>
  <c r="I9" i="6"/>
  <c r="G9" i="6" s="1"/>
  <c r="I8" i="6"/>
  <c r="G8" i="6" s="1"/>
  <c r="I7" i="6"/>
  <c r="G7" i="6" s="1"/>
  <c r="I6" i="6"/>
  <c r="G6" i="6" s="1"/>
  <c r="I5" i="6"/>
  <c r="G5" i="6" s="1"/>
  <c r="I4" i="6"/>
  <c r="G4" i="6" s="1"/>
  <c r="I3" i="6"/>
  <c r="I18" i="4"/>
  <c r="I17" i="4"/>
  <c r="I16" i="4"/>
  <c r="I15" i="4"/>
  <c r="I14" i="4"/>
  <c r="I13" i="4"/>
  <c r="I12" i="4"/>
  <c r="I11" i="4"/>
  <c r="I10" i="4"/>
  <c r="I9" i="4"/>
  <c r="I8" i="4"/>
  <c r="I7" i="4"/>
  <c r="I6" i="4"/>
  <c r="I5" i="4"/>
  <c r="I4" i="4"/>
  <c r="I3" i="4"/>
  <c r="J4" i="4"/>
  <c r="J5" i="4"/>
  <c r="J6" i="4"/>
  <c r="J7" i="4"/>
  <c r="J9" i="4"/>
  <c r="J10" i="4"/>
  <c r="J11" i="4"/>
  <c r="J12" i="4"/>
  <c r="J13" i="4"/>
  <c r="J14" i="4"/>
  <c r="J15" i="4"/>
  <c r="J16" i="4"/>
  <c r="J17" i="4"/>
  <c r="J18" i="4"/>
  <c r="J20" i="4"/>
  <c r="J21" i="4"/>
  <c r="J22" i="4"/>
  <c r="J23" i="4"/>
  <c r="J24" i="4"/>
  <c r="J25" i="4"/>
  <c r="J26" i="4"/>
  <c r="J27" i="4"/>
  <c r="J28" i="4"/>
  <c r="J29" i="4"/>
  <c r="J30" i="4"/>
  <c r="J31" i="4"/>
  <c r="J32" i="4"/>
  <c r="J33" i="4"/>
  <c r="J34" i="4"/>
  <c r="J35" i="4"/>
  <c r="J36" i="4"/>
  <c r="J37" i="4"/>
  <c r="J3" i="4"/>
  <c r="H18" i="4"/>
  <c r="H17" i="4"/>
  <c r="H16" i="4"/>
  <c r="H15" i="4"/>
  <c r="H14" i="4"/>
  <c r="H13" i="4"/>
  <c r="H12" i="4"/>
  <c r="H11" i="4"/>
  <c r="H10" i="4"/>
  <c r="H9" i="4"/>
  <c r="H8" i="4"/>
  <c r="H7" i="4"/>
  <c r="H6" i="4"/>
  <c r="H5" i="4"/>
  <c r="H4" i="4"/>
  <c r="H3" i="4"/>
  <c r="G13" i="7"/>
  <c r="F4" i="3"/>
  <c r="F5" i="3"/>
  <c r="F6" i="3"/>
  <c r="F7" i="3"/>
  <c r="F8" i="3"/>
  <c r="F9" i="3"/>
  <c r="F10" i="3"/>
  <c r="F11" i="3"/>
  <c r="F3" i="3"/>
  <c r="F4" i="4"/>
  <c r="F5" i="4"/>
  <c r="F6" i="4"/>
  <c r="F7" i="4"/>
  <c r="F8" i="4"/>
  <c r="F9" i="4"/>
  <c r="F10" i="4"/>
  <c r="F11" i="4"/>
  <c r="F12" i="4"/>
  <c r="F13" i="4"/>
  <c r="F14" i="4"/>
  <c r="F15" i="4"/>
  <c r="F16" i="4"/>
  <c r="F17" i="4"/>
  <c r="F18" i="4"/>
  <c r="F3" i="4"/>
  <c r="F4" i="5"/>
  <c r="F5" i="5"/>
  <c r="F6" i="5"/>
  <c r="F7" i="5"/>
  <c r="F8" i="5"/>
  <c r="F9" i="5"/>
  <c r="F10" i="5"/>
  <c r="F11" i="5"/>
  <c r="F12" i="5"/>
  <c r="F13" i="5"/>
  <c r="F14" i="5"/>
  <c r="F3" i="5"/>
  <c r="F4" i="6"/>
  <c r="F5" i="6"/>
  <c r="F6" i="6"/>
  <c r="F7" i="6"/>
  <c r="F8" i="6"/>
  <c r="F9" i="6"/>
  <c r="F10" i="6"/>
  <c r="F11" i="6"/>
  <c r="F12" i="6"/>
  <c r="F3" i="6"/>
  <c r="F4" i="7"/>
  <c r="F5" i="7"/>
  <c r="F6" i="7"/>
  <c r="F7" i="7"/>
  <c r="F8" i="7"/>
  <c r="F9" i="7"/>
  <c r="F10" i="7"/>
  <c r="F11" i="7"/>
  <c r="F12" i="7"/>
  <c r="F13" i="7"/>
  <c r="F3" i="7"/>
  <c r="G8" i="4" l="1"/>
  <c r="G3" i="4"/>
  <c r="G18" i="4"/>
  <c r="G4" i="4"/>
  <c r="U9" i="3"/>
  <c r="R9" i="3"/>
  <c r="P4" i="3"/>
  <c r="R4" i="3"/>
  <c r="Q26" i="3"/>
  <c r="T26" i="3"/>
  <c r="U26" i="3"/>
  <c r="M26" i="3"/>
  <c r="N26" i="3"/>
  <c r="O26" i="3"/>
  <c r="P26" i="3"/>
  <c r="R26" i="3"/>
  <c r="T21" i="3"/>
  <c r="U21" i="3"/>
  <c r="M21" i="3"/>
  <c r="O21" i="3"/>
  <c r="P21" i="3"/>
  <c r="Q21" i="3"/>
  <c r="R21" i="3"/>
  <c r="S21" i="3"/>
  <c r="T20" i="3"/>
  <c r="U20" i="3"/>
  <c r="N20" i="3"/>
  <c r="O20" i="3"/>
  <c r="P20" i="3"/>
  <c r="Q20" i="3"/>
  <c r="R20" i="3"/>
  <c r="S20" i="3"/>
  <c r="T22" i="3"/>
  <c r="U22" i="3"/>
  <c r="M22" i="3"/>
  <c r="N22" i="3"/>
  <c r="P22" i="3"/>
  <c r="Q22" i="3"/>
  <c r="R22" i="3"/>
  <c r="S22" i="3"/>
  <c r="T24" i="3"/>
  <c r="U24" i="3"/>
  <c r="M24" i="3"/>
  <c r="N24" i="3"/>
  <c r="O24" i="3"/>
  <c r="P24" i="3"/>
  <c r="R24" i="3"/>
  <c r="S24" i="3"/>
  <c r="Q27" i="3"/>
  <c r="S27" i="3"/>
  <c r="U27" i="3"/>
  <c r="M27" i="3"/>
  <c r="N27" i="3"/>
  <c r="O27" i="3"/>
  <c r="P27" i="3"/>
  <c r="R27" i="3"/>
  <c r="S28" i="3"/>
  <c r="T28" i="3"/>
  <c r="M28" i="3"/>
  <c r="N28" i="3"/>
  <c r="O28" i="3"/>
  <c r="P28" i="3"/>
  <c r="Q28" i="3"/>
  <c r="R28" i="3"/>
  <c r="T23" i="3"/>
  <c r="U23" i="3"/>
  <c r="M23" i="3"/>
  <c r="N23" i="3"/>
  <c r="O23" i="3"/>
  <c r="Q23" i="3"/>
  <c r="R23" i="3"/>
  <c r="S23" i="3"/>
  <c r="Q25" i="3"/>
  <c r="T25" i="3"/>
  <c r="U25" i="3"/>
  <c r="M25" i="3"/>
  <c r="N25" i="3"/>
  <c r="O25" i="3"/>
  <c r="P25" i="3"/>
  <c r="S25" i="3"/>
  <c r="P9" i="3"/>
  <c r="Q9" i="3"/>
  <c r="T9" i="3"/>
  <c r="O9" i="3"/>
  <c r="M9" i="3"/>
  <c r="G3" i="6"/>
  <c r="N7" i="3"/>
  <c r="T7" i="3"/>
  <c r="M7" i="3"/>
  <c r="S4" i="3"/>
  <c r="U4" i="3"/>
  <c r="P7" i="3"/>
  <c r="S7" i="3"/>
  <c r="Q4" i="3"/>
  <c r="T4" i="3"/>
  <c r="M4" i="3"/>
  <c r="R7" i="3"/>
  <c r="U7" i="3"/>
  <c r="P11" i="3"/>
  <c r="M11" i="3"/>
  <c r="T11" i="3"/>
  <c r="N11" i="3"/>
  <c r="O11" i="3"/>
  <c r="R11" i="3"/>
  <c r="S11" i="3"/>
  <c r="N8" i="3"/>
  <c r="Q8" i="3"/>
  <c r="U8" i="3"/>
  <c r="O8" i="3"/>
  <c r="P8" i="3"/>
  <c r="M8" i="3"/>
  <c r="T8" i="3"/>
  <c r="J6" i="3"/>
  <c r="J5" i="3"/>
  <c r="J10" i="3"/>
  <c r="G7" i="7"/>
  <c r="G10" i="6"/>
  <c r="G14" i="4"/>
  <c r="G7" i="4"/>
  <c r="G15" i="4"/>
  <c r="G10" i="4"/>
  <c r="G11" i="4"/>
  <c r="G16" i="4"/>
  <c r="G9" i="4"/>
  <c r="G17" i="4"/>
  <c r="G12" i="4"/>
  <c r="G5" i="4"/>
  <c r="G13" i="4"/>
  <c r="G6" i="4"/>
  <c r="M3" i="1"/>
  <c r="N3" i="1" s="1"/>
  <c r="U15" i="2" s="1"/>
  <c r="H18" i="2"/>
  <c r="E18" i="2"/>
  <c r="E19" i="2"/>
  <c r="H19" i="2"/>
  <c r="F15" i="1"/>
  <c r="G18" i="2" s="1"/>
  <c r="F16" i="1"/>
  <c r="G19" i="2" s="1"/>
  <c r="U14" i="2" l="1"/>
  <c r="Y14" i="2" s="1"/>
  <c r="F18" i="2"/>
  <c r="M13" i="3"/>
  <c r="N13" i="3"/>
  <c r="J9" i="3"/>
  <c r="H4" i="3"/>
  <c r="H3" i="3"/>
  <c r="J26" i="3"/>
  <c r="J7" i="3"/>
  <c r="J4" i="3"/>
  <c r="J20" i="3"/>
  <c r="I4" i="3"/>
  <c r="J11" i="3"/>
  <c r="J27" i="3"/>
  <c r="J24" i="3"/>
  <c r="J8" i="3"/>
  <c r="J28" i="3"/>
  <c r="I10" i="3"/>
  <c r="J23" i="3"/>
  <c r="I9" i="3"/>
  <c r="J25" i="3"/>
  <c r="I7" i="3"/>
  <c r="I6" i="3"/>
  <c r="I5" i="3"/>
  <c r="J22" i="3"/>
  <c r="I3" i="3"/>
  <c r="I11" i="3"/>
  <c r="J21" i="3"/>
  <c r="I8" i="3"/>
  <c r="F19" i="2"/>
  <c r="F3" i="1"/>
  <c r="F4" i="1"/>
  <c r="F6" i="1"/>
  <c r="F7" i="1"/>
  <c r="F8" i="1"/>
  <c r="F10" i="1"/>
  <c r="F11" i="1"/>
  <c r="F12" i="1"/>
  <c r="F13" i="1"/>
  <c r="G3" i="3" l="1"/>
  <c r="G9" i="2" l="1"/>
  <c r="G8" i="2"/>
  <c r="G13" i="2"/>
  <c r="G17" i="2"/>
  <c r="G14" i="2"/>
  <c r="G16" i="2"/>
  <c r="G15" i="2"/>
  <c r="G7" i="2"/>
  <c r="G12" i="2"/>
  <c r="G11" i="2"/>
  <c r="G10" i="2"/>
  <c r="G6" i="2"/>
  <c r="D13" i="2"/>
  <c r="D14" i="2"/>
  <c r="D15" i="2"/>
  <c r="D10" i="2"/>
  <c r="D11" i="2"/>
  <c r="D17" i="2"/>
  <c r="D7" i="2"/>
  <c r="D8" i="2"/>
  <c r="D12" i="2"/>
  <c r="D16" i="2"/>
  <c r="D6" i="2"/>
  <c r="D9" i="2"/>
  <c r="C12" i="2" l="1"/>
  <c r="C16" i="2"/>
  <c r="C17" i="2"/>
  <c r="C13" i="2"/>
  <c r="C11" i="2"/>
  <c r="C10" i="2"/>
  <c r="C7" i="2"/>
  <c r="C15" i="2"/>
  <c r="C14" i="2"/>
  <c r="C9" i="2"/>
  <c r="C8" i="2"/>
  <c r="H12" i="2" l="1"/>
  <c r="H9" i="2"/>
  <c r="H14" i="2"/>
  <c r="H16" i="2"/>
  <c r="H6" i="2"/>
  <c r="H13" i="2"/>
  <c r="H10" i="2"/>
  <c r="F14" i="2"/>
  <c r="H8" i="2"/>
  <c r="F12" i="2"/>
  <c r="F8" i="2"/>
  <c r="H11" i="2"/>
  <c r="F6" i="2"/>
  <c r="F15" i="2"/>
  <c r="F16" i="2"/>
  <c r="F17" i="2"/>
  <c r="F11" i="2"/>
  <c r="F10" i="2"/>
  <c r="F9" i="2"/>
  <c r="H15" i="2"/>
  <c r="H7" i="2"/>
  <c r="F7" i="2"/>
  <c r="H17" i="2"/>
  <c r="F13" i="2"/>
  <c r="O3" i="3"/>
  <c r="H5" i="3" l="1"/>
  <c r="G5" i="3" s="1"/>
  <c r="U3" i="3"/>
  <c r="P3" i="3"/>
  <c r="S3" i="3"/>
  <c r="T3" i="3"/>
  <c r="Q3" i="3"/>
  <c r="R3" i="3"/>
  <c r="H9" i="3" l="1"/>
  <c r="G9" i="3" s="1"/>
  <c r="H6" i="3"/>
  <c r="G6" i="3" s="1"/>
  <c r="H11" i="3"/>
  <c r="G11" i="3" s="1"/>
  <c r="H8" i="3"/>
  <c r="G8" i="3" s="1"/>
  <c r="H7" i="3"/>
  <c r="G7" i="3" s="1"/>
  <c r="H10" i="3"/>
  <c r="G10" i="3" s="1"/>
  <c r="J3" i="3"/>
  <c r="G4" i="3"/>
  <c r="N22" i="5"/>
  <c r="V21" i="5"/>
  <c r="O21" i="5"/>
  <c r="W21" i="5"/>
  <c r="X21" i="5"/>
  <c r="P21" i="5"/>
  <c r="Q21" i="5"/>
  <c r="R21" i="5"/>
  <c r="U21" i="5"/>
  <c r="S21" i="5"/>
  <c r="T21" i="5"/>
  <c r="P29" i="5"/>
  <c r="T29" i="5"/>
  <c r="S29" i="5"/>
  <c r="O29" i="5"/>
  <c r="W29" i="5"/>
  <c r="Q29" i="5"/>
  <c r="R29" i="5"/>
  <c r="U29" i="5"/>
  <c r="N29" i="5"/>
  <c r="X29" i="5"/>
  <c r="R30" i="5"/>
  <c r="P30" i="5"/>
  <c r="V30" i="5"/>
  <c r="S30" i="5"/>
  <c r="X30" i="5"/>
  <c r="N30" i="5"/>
  <c r="O30" i="5"/>
  <c r="T30" i="5"/>
  <c r="Q30" i="5"/>
  <c r="U30" i="5"/>
  <c r="M21" i="5"/>
  <c r="M29" i="5"/>
  <c r="T24" i="5"/>
  <c r="N24" i="5"/>
  <c r="P24" i="5"/>
  <c r="U24" i="5"/>
  <c r="S24" i="5"/>
  <c r="V24" i="5"/>
  <c r="R24" i="5"/>
  <c r="W24" i="5"/>
  <c r="X24" i="5"/>
  <c r="M24" i="5"/>
  <c r="O24" i="5"/>
  <c r="P27" i="5"/>
  <c r="S27" i="5"/>
  <c r="X27" i="5"/>
  <c r="R27" i="5"/>
  <c r="Q27" i="5"/>
  <c r="U27" i="5"/>
  <c r="O27" i="5"/>
  <c r="N27" i="5"/>
  <c r="W27" i="5"/>
  <c r="M27" i="5"/>
  <c r="V27" i="5"/>
  <c r="O25" i="5"/>
  <c r="V25" i="5"/>
  <c r="S25" i="5"/>
  <c r="P25" i="5"/>
  <c r="W25" i="5"/>
  <c r="N25" i="5"/>
  <c r="Q25" i="5"/>
  <c r="X25" i="5"/>
  <c r="T25" i="5"/>
  <c r="M25" i="5"/>
  <c r="U25" i="5"/>
  <c r="M30" i="5"/>
  <c r="X22" i="5"/>
  <c r="P22" i="5"/>
  <c r="Q22" i="5"/>
  <c r="W22" i="5"/>
  <c r="S22" i="5"/>
  <c r="T22" i="5"/>
  <c r="R22" i="5"/>
  <c r="U22" i="5"/>
  <c r="M22" i="5"/>
  <c r="V22" i="5"/>
  <c r="V23" i="5"/>
  <c r="T23" i="5"/>
  <c r="U23" i="5"/>
  <c r="W23" i="5"/>
  <c r="N23" i="5"/>
  <c r="X23" i="5"/>
  <c r="Q23" i="5"/>
  <c r="R23" i="5"/>
  <c r="O23" i="5"/>
  <c r="S23" i="5"/>
  <c r="O26" i="5"/>
  <c r="T26" i="5"/>
  <c r="X26" i="5"/>
  <c r="W26" i="5"/>
  <c r="N26" i="5"/>
  <c r="V26" i="5"/>
  <c r="U26" i="5"/>
  <c r="R26" i="5"/>
  <c r="P26" i="5"/>
  <c r="M26" i="5"/>
  <c r="Q26" i="5"/>
  <c r="Q28" i="5"/>
  <c r="V28" i="5"/>
  <c r="T28" i="5"/>
  <c r="N28" i="5"/>
  <c r="O28" i="5"/>
  <c r="P28" i="5"/>
  <c r="S28" i="5"/>
  <c r="W28" i="5"/>
  <c r="R28" i="5"/>
  <c r="M28" i="5"/>
  <c r="X28" i="5"/>
  <c r="S31" i="5"/>
  <c r="R31" i="5"/>
  <c r="T31" i="5"/>
  <c r="U31" i="5"/>
  <c r="V31" i="5"/>
  <c r="N31" i="5"/>
  <c r="O31" i="5"/>
  <c r="P31" i="5"/>
  <c r="W31" i="5"/>
  <c r="Q31" i="5"/>
  <c r="M23" i="5"/>
  <c r="M31" i="5"/>
  <c r="J28" i="5" l="1"/>
  <c r="J22" i="5"/>
  <c r="J31" i="5"/>
  <c r="J21" i="5"/>
  <c r="J27" i="5"/>
  <c r="J30" i="5"/>
  <c r="J24" i="5"/>
  <c r="J23" i="5"/>
  <c r="J26" i="5"/>
  <c r="J25" i="5"/>
  <c r="J29" i="5"/>
  <c r="I13" i="5"/>
  <c r="G13" i="5" s="1"/>
  <c r="I3" i="5"/>
  <c r="G3" i="5" s="1"/>
  <c r="I8" i="5"/>
  <c r="G8" i="5" s="1"/>
  <c r="I14" i="5"/>
  <c r="G14" i="5" s="1"/>
  <c r="I7" i="5"/>
  <c r="G7" i="5" s="1"/>
  <c r="I6" i="5"/>
  <c r="G6" i="5" s="1"/>
  <c r="I10" i="5"/>
  <c r="G10" i="5" s="1"/>
  <c r="I9" i="5"/>
  <c r="G9" i="5" s="1"/>
  <c r="I5" i="5"/>
  <c r="G5" i="5" s="1"/>
  <c r="I11" i="5"/>
  <c r="G11" i="5" s="1"/>
  <c r="I12" i="5"/>
  <c r="G12" i="5" s="1"/>
  <c r="I4" i="5"/>
  <c r="G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4" authorId="0" shapeId="0" xr:uid="{50DF3D05-04A8-4DC7-AAD8-DE44692BEC99}">
      <text>
        <r>
          <rPr>
            <b/>
            <sz val="9"/>
            <color indexed="81"/>
            <rFont val="Tahoma"/>
            <family val="2"/>
          </rPr>
          <t>User:</t>
        </r>
        <r>
          <rPr>
            <sz val="9"/>
            <color indexed="81"/>
            <rFont val="Tahoma"/>
            <family val="2"/>
          </rPr>
          <t xml:space="preserve">
Pourcentage des votants ayant voté blanc. Le pourcentage de bulletins nuls est renseigné en cellule A54.</t>
        </r>
      </text>
    </comment>
    <comment ref="C55" authorId="0" shapeId="0" xr:uid="{E9BB9E16-EF20-47B9-A98D-A8096F49E9EB}">
      <text>
        <r>
          <rPr>
            <b/>
            <sz val="9"/>
            <color indexed="81"/>
            <rFont val="Tahoma"/>
            <family val="2"/>
          </rPr>
          <t>User:</t>
        </r>
        <r>
          <rPr>
            <sz val="9"/>
            <color indexed="81"/>
            <rFont val="Tahoma"/>
            <family val="2"/>
          </rPr>
          <t xml:space="preserve">
Pourcentage des inscrits qui s'abstenaient et voteraient désormais blanc par le biais d'une enveloppe rouge. Pour une signification différente des blancs en enveloppe verte.
Le pourcentage des inscrits qui s'abstenaient est continuraient à s'abstenir (par impossibilité ou par choix) est en cellule A55.</t>
        </r>
      </text>
    </comment>
  </commentList>
</comments>
</file>

<file path=xl/sharedStrings.xml><?xml version="1.0" encoding="utf-8"?>
<sst xmlns="http://schemas.openxmlformats.org/spreadsheetml/2006/main" count="708" uniqueCount="195">
  <si>
    <t>Nathalie Arthaud – LO</t>
  </si>
  <si>
    <t>Fabien Roussel – PCF</t>
  </si>
  <si>
    <t>Emmanuel Macron – LREM</t>
  </si>
  <si>
    <t>Jean Lassalle – RES</t>
  </si>
  <si>
    <t>Marine Le Pen – RN</t>
  </si>
  <si>
    <t>Éric Zemmour – REC</t>
  </si>
  <si>
    <t>Jean-Luc Mélenchon – LFI</t>
  </si>
  <si>
    <t>Anne Hidalgo – PS</t>
  </si>
  <si>
    <t>Yannick Jadot – EÉLV</t>
  </si>
  <si>
    <t>Valérie Pécresse – LR</t>
  </si>
  <si>
    <t>Philippe Poutou – NPA</t>
  </si>
  <si>
    <t>Nicolas Dupont-Aignan – DLF</t>
  </si>
  <si>
    <t>Candidats</t>
  </si>
  <si>
    <t>Nombres de voix le 10/04/2022</t>
  </si>
  <si>
    <t>Blancs / nuls</t>
  </si>
  <si>
    <t>Abstention</t>
  </si>
  <si>
    <t>N. Arthaud</t>
  </si>
  <si>
    <t>F. Roussel</t>
  </si>
  <si>
    <t>E. Macron</t>
  </si>
  <si>
    <t>J. Lassalle</t>
  </si>
  <si>
    <t>M. Le Pen</t>
  </si>
  <si>
    <t>É. Zemmour</t>
  </si>
  <si>
    <t>J-L. Mélenchon</t>
  </si>
  <si>
    <t>A. Hidalgo</t>
  </si>
  <si>
    <t>Y. Jadot</t>
  </si>
  <si>
    <t>V. Pécresse</t>
  </si>
  <si>
    <t>P. Poutou</t>
  </si>
  <si>
    <t>N. Dupont-Aignan</t>
  </si>
  <si>
    <t>Points</t>
  </si>
  <si>
    <t>Le 24/04/2022</t>
  </si>
  <si>
    <t>Personne</t>
  </si>
  <si>
    <t>Bulletins +</t>
  </si>
  <si>
    <t>Bulletins -</t>
  </si>
  <si>
    <t>Quels pourcentages de votants pour un candidat bleu, choisirait un jaune comme deuxième bulletin ?</t>
  </si>
  <si>
    <t>Quels pourcentages de votants pour un candidat bleu, choisirait un jaune comme bulletin éliminatoire ?</t>
  </si>
  <si>
    <t>Habituel</t>
  </si>
  <si>
    <t>Nouveau</t>
  </si>
  <si>
    <t>Abtentions*</t>
  </si>
  <si>
    <t>Blancs / Nuls*</t>
  </si>
  <si>
    <t>Candidats x12</t>
  </si>
  <si>
    <t>Apports :</t>
  </si>
  <si>
    <t>Blancs + Nuls</t>
  </si>
  <si>
    <t>Avantages :</t>
  </si>
  <si>
    <t>Meilleure interprétation des votes blancs, notmment si l'on différencie les verts des rouges.</t>
  </si>
  <si>
    <t>Diminution concidérable de l'abstention.</t>
  </si>
  <si>
    <t>Forte incitation à s'intéresser aux programmes politiques pour motiver un choix pertinent.</t>
  </si>
  <si>
    <t>Mode de scrutin plus consensuel.</t>
  </si>
  <si>
    <t>Appliqué aux seconds tours :</t>
  </si>
  <si>
    <t>Années</t>
  </si>
  <si>
    <t>Lionel Jospin</t>
  </si>
  <si>
    <t>Jacques Chirac</t>
  </si>
  <si>
    <t>Jean-Marie Le Pen</t>
  </si>
  <si>
    <t>Nicolas Sarkozy</t>
  </si>
  <si>
    <t>Ségolène Royal</t>
  </si>
  <si>
    <t>François Hollande</t>
  </si>
  <si>
    <t>Emmanuel Macron</t>
  </si>
  <si>
    <t>Marine Le Pen</t>
  </si>
  <si>
    <t>Macron</t>
  </si>
  <si>
    <t>Lepen</t>
  </si>
  <si>
    <t>EM</t>
  </si>
  <si>
    <t>FN</t>
  </si>
  <si>
    <t>François Fillon</t>
  </si>
  <si>
    <t>LR</t>
  </si>
  <si>
    <t>Jean-Luc Mélenchon</t>
  </si>
  <si>
    <t>LFI</t>
  </si>
  <si>
    <t>Benoît Hamon</t>
  </si>
  <si>
    <t>PS</t>
  </si>
  <si>
    <t>Nicolas Dupont-Aignan</t>
  </si>
  <si>
    <t>DLF</t>
  </si>
  <si>
    <t>Jean Lassalle</t>
  </si>
  <si>
    <t>RES</t>
  </si>
  <si>
    <t>Philippe Poutou</t>
  </si>
  <si>
    <t>NPA</t>
  </si>
  <si>
    <t>François Asselineau</t>
  </si>
  <si>
    <t>UPR</t>
  </si>
  <si>
    <t>Nathalie Arthaud</t>
  </si>
  <si>
    <t>LO</t>
  </si>
  <si>
    <t>Jacques Cheminade</t>
  </si>
  <si>
    <t>SP</t>
  </si>
  <si>
    <t>Suffrages exprimés</t>
  </si>
  <si>
    <t>Votes blancs</t>
  </si>
  <si>
    <t>Votes nuls</t>
  </si>
  <si>
    <t>Total</t>
  </si>
  <si>
    <t>Inscrits / Participation</t>
  </si>
  <si>
    <t>UMP</t>
  </si>
  <si>
    <t>FG</t>
  </si>
  <si>
    <t>François Bayrou</t>
  </si>
  <si>
    <t>MoDem</t>
  </si>
  <si>
    <t>Eva Joly</t>
  </si>
  <si>
    <t>EELV</t>
  </si>
  <si>
    <t>DLR</t>
  </si>
  <si>
    <t>Votes blancs ou nuls</t>
  </si>
  <si>
    <t>UDF</t>
  </si>
  <si>
    <t>Olivier Besancenot</t>
  </si>
  <si>
    <t>LCR</t>
  </si>
  <si>
    <t>Philippe de Villiers</t>
  </si>
  <si>
    <t>MPF</t>
  </si>
  <si>
    <t>Marie-George Buffet</t>
  </si>
  <si>
    <t>PCF</t>
  </si>
  <si>
    <t>Dominique Voynet</t>
  </si>
  <si>
    <t>LV</t>
  </si>
  <si>
    <t>Arlette Laguiller</t>
  </si>
  <si>
    <t>José Bové</t>
  </si>
  <si>
    <t>DVG</t>
  </si>
  <si>
    <t>Frédéric Nihous</t>
  </si>
  <si>
    <t>CPNT</t>
  </si>
  <si>
    <t>Gérard Schivardi</t>
  </si>
  <si>
    <t>PT</t>
  </si>
  <si>
    <t>RPR</t>
  </si>
  <si>
    <t>Jean-Pierre Chevènement</t>
  </si>
  <si>
    <t>MDC</t>
  </si>
  <si>
    <t>Noël Mamère</t>
  </si>
  <si>
    <t>Jean Saint-Josse</t>
  </si>
  <si>
    <t>Alain Madelin</t>
  </si>
  <si>
    <t>DL</t>
  </si>
  <si>
    <t>Robert Hue</t>
  </si>
  <si>
    <t>Bruno Mégret</t>
  </si>
  <si>
    <t>MNR</t>
  </si>
  <si>
    <t>Christiane Taubira</t>
  </si>
  <si>
    <t>PRG</t>
  </si>
  <si>
    <t>Corinne Lepage</t>
  </si>
  <si>
    <t>Cap21</t>
  </si>
  <si>
    <t>Christine Boutin</t>
  </si>
  <si>
    <t>FRS</t>
  </si>
  <si>
    <t>Daniel Gluckstein</t>
  </si>
  <si>
    <t>Votes blancs et nuls</t>
  </si>
  <si>
    <t>Abstentions</t>
  </si>
  <si>
    <t>Édouard Balladur</t>
  </si>
  <si>
    <t>FNS</t>
  </si>
  <si>
    <t>Votes valides</t>
  </si>
  <si>
    <t>Inscrits / participation</t>
  </si>
  <si>
    <t>Verts</t>
  </si>
  <si>
    <t>Rouges</t>
  </si>
  <si>
    <t>A</t>
  </si>
  <si>
    <t>B/N</t>
  </si>
  <si>
    <t>B</t>
  </si>
  <si>
    <t>Vérification :</t>
  </si>
  <si>
    <t>Programmes globalement semblables.</t>
  </si>
  <si>
    <t>Programmes globalement divergeants</t>
  </si>
  <si>
    <t>Droites ou Gauches entre eux.</t>
  </si>
  <si>
    <t>Droite contre Gauche</t>
  </si>
  <si>
    <t>Même couleur politique</t>
  </si>
  <si>
    <t>Couleur politique différente</t>
  </si>
  <si>
    <t>Soutien du candidat</t>
  </si>
  <si>
    <t>Rival d'un candidat</t>
  </si>
  <si>
    <t>Modéré vis-à-vis d'un extrème de même bord</t>
  </si>
  <si>
    <t>Modéré vis-à-vis d'un extrème de bord opposé</t>
  </si>
  <si>
    <t>Extrèmes entre eux</t>
  </si>
  <si>
    <t>Diabolisation médiatique de grande ampleur.</t>
  </si>
  <si>
    <t>Les quatre meilleurs sondages entre eux</t>
  </si>
  <si>
    <t>(report de voix)</t>
  </si>
  <si>
    <t>&lt; 4 %</t>
  </si>
  <si>
    <t>&lt; 110</t>
  </si>
  <si>
    <t>&lt; 48%</t>
  </si>
  <si>
    <t>&lt; 46%</t>
  </si>
  <si>
    <t>&lt; 49%</t>
  </si>
  <si>
    <t>&lt; 45%</t>
  </si>
  <si>
    <t>&lt; 61%</t>
  </si>
  <si>
    <t>&lt; 15%</t>
  </si>
  <si>
    <t>Aide médiatique à la popularité</t>
  </si>
  <si>
    <t>Candidat fragil (santé), ou clown (idiot, gyrouette, etc…)</t>
  </si>
  <si>
    <t>Couac médiatique</t>
  </si>
  <si>
    <t>Programmes similaires sur des éléments principaux mis en avant.</t>
  </si>
  <si>
    <t>Programmes opposés sur des éléments principaux mis en avant.</t>
  </si>
  <si>
    <t>Soutien du gouvernement sortant</t>
  </si>
  <si>
    <t>Présidant sortant</t>
  </si>
  <si>
    <t>Scrutin habituel</t>
  </si>
  <si>
    <t>VERTS</t>
  </si>
  <si>
    <t>ROUGES</t>
  </si>
  <si>
    <t>Importances relatives</t>
  </si>
  <si>
    <t>Boutin + Lepage + Chirac + Gluckstein + Madelin</t>
  </si>
  <si>
    <t>Besancenot + Laguiller</t>
  </si>
  <si>
    <t>Le Pen + Chevenement + Megret</t>
  </si>
  <si>
    <t>Taubira + Jospin + Mamère + Hue + St Josse + Bayrou</t>
  </si>
  <si>
    <t>&lt; 42%</t>
  </si>
  <si>
    <t>&lt; 55%</t>
  </si>
  <si>
    <t xml:space="preserve">2 ème </t>
  </si>
  <si>
    <t xml:space="preserve">1er </t>
  </si>
  <si>
    <t xml:space="preserve">3 ème </t>
  </si>
  <si>
    <t>Quels pourcentages de votants pour un candidat bleu, choisirait un jaune comme deuxième bulletin vert ?</t>
  </si>
  <si>
    <t>Attention : Les BLANCS/NULS cumulent ici ceux des enveloppes vertes et ceux des enveloppes rouges. Moins de votants blanc peut faire plus de pourcents.</t>
  </si>
  <si>
    <t>Similitudes</t>
  </si>
  <si>
    <t>Oppositions</t>
  </si>
  <si>
    <t>Soutien d'un Président</t>
  </si>
  <si>
    <t>* Environ 6 à 7 % des abstentions sont des non-inscrits, 10 % en incapacité de se déplacer ou autre.</t>
  </si>
  <si>
    <t>Facile à dépouiller et second tour inutile.</t>
  </si>
  <si>
    <t>Blancs</t>
  </si>
  <si>
    <t>Nuls</t>
  </si>
  <si>
    <t>* Les votes nuls et « bulletin pirate » sont conservés de l'ordre de 30 % en général depuis 1995</t>
  </si>
  <si>
    <t>=</t>
  </si>
  <si>
    <t>Différence</t>
  </si>
  <si>
    <t>Différence avec le scrutin habituel</t>
  </si>
  <si>
    <t>Attention : Une personne votant uniquement une enveloppe verte OU rouge, n'est pas abstentionniste.</t>
  </si>
  <si>
    <t>Report de voix</t>
  </si>
  <si>
    <r>
      <t>(</t>
    </r>
    <r>
      <rPr>
        <b/>
        <sz val="11"/>
        <color theme="1"/>
        <rFont val="Calibri"/>
        <family val="2"/>
      </rPr>
      <t>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</si>
</sst>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B050"/>
      <name val="Calibri"/>
      <family val="2"/>
      <scheme val="minor"/>
    </font>
    <font>
      <i/>
      <sz val="11"/>
      <color theme="1"/>
      <name val="Calibri"/>
      <family val="2"/>
      <scheme val="minor"/>
    </font>
    <font>
      <sz val="11"/>
      <color theme="2" tint="-0.499984740745262"/>
      <name val="Calibri"/>
      <family val="2"/>
      <scheme val="minor"/>
    </font>
    <font>
      <sz val="11"/>
      <name val="Calibri"/>
      <family val="2"/>
      <scheme val="minor"/>
    </font>
    <font>
      <b/>
      <sz val="11"/>
      <color rgb="FFFFFF00"/>
      <name val="Calibri"/>
      <family val="2"/>
      <scheme val="minor"/>
    </font>
    <font>
      <sz val="11"/>
      <color theme="0" tint="-0.499984740745262"/>
      <name val="Calibri"/>
      <family val="2"/>
      <scheme val="minor"/>
    </font>
    <font>
      <sz val="11"/>
      <color theme="6" tint="0.39997558519241921"/>
      <name val="Calibri"/>
      <family val="2"/>
      <scheme val="minor"/>
    </font>
    <font>
      <b/>
      <i/>
      <sz val="11"/>
      <color theme="1"/>
      <name val="Calibri"/>
      <family val="2"/>
      <scheme val="minor"/>
    </font>
    <font>
      <b/>
      <sz val="11"/>
      <color theme="0"/>
      <name val="Calibri"/>
      <family val="2"/>
      <scheme val="minor"/>
    </font>
    <font>
      <sz val="8"/>
      <name val="Calibri"/>
      <family val="2"/>
      <scheme val="minor"/>
    </font>
    <font>
      <b/>
      <sz val="11"/>
      <color theme="2" tint="-0.249977111117893"/>
      <name val="Calibri"/>
      <family val="2"/>
      <scheme val="minor"/>
    </font>
    <font>
      <sz val="11"/>
      <color theme="2" tint="-0.249977111117893"/>
      <name val="Calibri"/>
      <family val="2"/>
      <scheme val="minor"/>
    </font>
    <font>
      <sz val="11"/>
      <color theme="0" tint="-0.34998626667073579"/>
      <name val="Calibri"/>
      <family val="2"/>
      <scheme val="minor"/>
    </font>
    <font>
      <b/>
      <sz val="11"/>
      <color theme="0" tint="-0.34998626667073579"/>
      <name val="Calibri"/>
      <family val="2"/>
      <scheme val="minor"/>
    </font>
    <font>
      <u/>
      <sz val="11"/>
      <color theme="10"/>
      <name val="Calibri"/>
      <family val="2"/>
      <scheme val="minor"/>
    </font>
    <font>
      <sz val="9"/>
      <color indexed="81"/>
      <name val="Tahoma"/>
      <family val="2"/>
    </font>
    <font>
      <b/>
      <sz val="9"/>
      <color indexed="81"/>
      <name val="Tahoma"/>
      <family val="2"/>
    </font>
    <font>
      <b/>
      <sz val="11"/>
      <name val="Calibri"/>
      <family val="2"/>
      <scheme val="minor"/>
    </font>
    <font>
      <i/>
      <sz val="11"/>
      <color theme="0" tint="-0.34998626667073579"/>
      <name val="Calibri"/>
      <family val="2"/>
      <scheme val="minor"/>
    </font>
    <font>
      <sz val="11"/>
      <color theme="4" tint="0.39997558519241921"/>
      <name val="Calibri"/>
      <family val="2"/>
      <scheme val="minor"/>
    </font>
    <font>
      <sz val="11"/>
      <color theme="4" tint="-0.249977111117893"/>
      <name val="Calibri"/>
      <family val="2"/>
      <scheme val="minor"/>
    </font>
    <font>
      <b/>
      <sz val="11"/>
      <color theme="1"/>
      <name val="Calibri"/>
      <family val="2"/>
    </font>
  </fonts>
  <fills count="23">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0070C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C00000"/>
        <bgColor indexed="64"/>
      </patternFill>
    </fill>
    <fill>
      <patternFill patternType="solid">
        <fgColor theme="4"/>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2"/>
        <bgColor indexed="64"/>
      </patternFill>
    </fill>
    <fill>
      <patternFill patternType="solid">
        <fgColor theme="3"/>
        <bgColor indexed="64"/>
      </patternFill>
    </fill>
    <fill>
      <patternFill patternType="solid">
        <fgColor theme="3" tint="-0.249977111117893"/>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style="thin">
        <color indexed="64"/>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style="double">
        <color rgb="FFFFFF00"/>
      </left>
      <right style="double">
        <color rgb="FFFFFF00"/>
      </right>
      <top style="double">
        <color rgb="FFFFFF00"/>
      </top>
      <bottom style="double">
        <color rgb="FFFFFF00"/>
      </bottom>
      <diagonal/>
    </border>
    <border>
      <left/>
      <right/>
      <top style="thin">
        <color theme="0" tint="-0.499984740745262"/>
      </top>
      <bottom/>
      <diagonal/>
    </border>
    <border>
      <left/>
      <right/>
      <top/>
      <bottom style="thin">
        <color theme="0" tint="-0.499984740745262"/>
      </bottom>
      <diagonal/>
    </border>
    <border>
      <left/>
      <right/>
      <top style="double">
        <color theme="0" tint="-0.499984740745262"/>
      </top>
      <bottom/>
      <diagonal/>
    </border>
    <border>
      <left/>
      <right/>
      <top/>
      <bottom style="thin">
        <color theme="4" tint="0.39991454817346722"/>
      </bottom>
      <diagonal/>
    </border>
    <border>
      <left/>
      <right/>
      <top style="double">
        <color theme="4" tint="0.39994506668294322"/>
      </top>
      <bottom/>
      <diagonal/>
    </border>
    <border>
      <left/>
      <right/>
      <top style="thin">
        <color theme="4" tint="0.39994506668294322"/>
      </top>
      <bottom/>
      <diagonal/>
    </border>
    <border>
      <left/>
      <right/>
      <top/>
      <bottom style="thin">
        <color theme="4" tint="0.39994506668294322"/>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179">
    <xf numFmtId="0" fontId="0" fillId="0" borderId="0" xfId="0"/>
    <xf numFmtId="0" fontId="3" fillId="0" borderId="0" xfId="0" applyFont="1"/>
    <xf numFmtId="0" fontId="0" fillId="3" borderId="0" xfId="0" applyFill="1"/>
    <xf numFmtId="0" fontId="0" fillId="4" borderId="0" xfId="0" applyFill="1"/>
    <xf numFmtId="9" fontId="0" fillId="0" borderId="0" xfId="1" applyFont="1"/>
    <xf numFmtId="9" fontId="4" fillId="2" borderId="0" xfId="1" applyFont="1" applyFill="1" applyAlignment="1">
      <alignment horizontal="center"/>
    </xf>
    <xf numFmtId="0" fontId="0" fillId="5" borderId="0" xfId="0" applyFill="1"/>
    <xf numFmtId="0" fontId="3" fillId="5" borderId="0" xfId="0" applyFont="1" applyFill="1"/>
    <xf numFmtId="0" fontId="0" fillId="6" borderId="0" xfId="0" applyFill="1"/>
    <xf numFmtId="0" fontId="3" fillId="6" borderId="0" xfId="0" applyFont="1" applyFill="1"/>
    <xf numFmtId="1" fontId="0" fillId="0" borderId="0" xfId="0" applyNumberFormat="1" applyAlignment="1">
      <alignment vertical="center" wrapText="1"/>
    </xf>
    <xf numFmtId="0" fontId="3" fillId="0" borderId="0" xfId="0" applyFont="1" applyAlignment="1">
      <alignment horizontal="center"/>
    </xf>
    <xf numFmtId="0" fontId="3" fillId="7" borderId="1" xfId="0" applyFont="1" applyFill="1" applyBorder="1" applyAlignment="1">
      <alignment horizontal="center"/>
    </xf>
    <xf numFmtId="1" fontId="0" fillId="7" borderId="2" xfId="0" applyNumberFormat="1" applyFill="1" applyBorder="1" applyAlignment="1">
      <alignment horizontal="center"/>
    </xf>
    <xf numFmtId="1" fontId="0" fillId="7" borderId="3" xfId="0" applyNumberFormat="1" applyFill="1" applyBorder="1" applyAlignment="1">
      <alignment horizontal="center"/>
    </xf>
    <xf numFmtId="0" fontId="6" fillId="0" borderId="4" xfId="0" applyFont="1" applyBorder="1"/>
    <xf numFmtId="1" fontId="0" fillId="7" borderId="1" xfId="0" applyNumberFormat="1" applyFill="1" applyBorder="1" applyAlignment="1">
      <alignment horizontal="center"/>
    </xf>
    <xf numFmtId="1" fontId="5" fillId="0" borderId="5" xfId="0" applyNumberFormat="1" applyFont="1" applyBorder="1"/>
    <xf numFmtId="1" fontId="2" fillId="0" borderId="6" xfId="0" applyNumberFormat="1" applyFont="1" applyBorder="1"/>
    <xf numFmtId="0" fontId="6" fillId="0" borderId="7" xfId="0" applyFont="1" applyBorder="1"/>
    <xf numFmtId="1" fontId="5" fillId="0" borderId="0" xfId="0" applyNumberFormat="1" applyFont="1"/>
    <xf numFmtId="1" fontId="2" fillId="0" borderId="8" xfId="0" applyNumberFormat="1" applyFont="1" applyBorder="1"/>
    <xf numFmtId="0" fontId="6" fillId="0" borderId="9" xfId="0" applyFont="1" applyBorder="1"/>
    <xf numFmtId="1" fontId="5" fillId="0" borderId="10" xfId="0" applyNumberFormat="1" applyFont="1" applyBorder="1"/>
    <xf numFmtId="1" fontId="2" fillId="0" borderId="11" xfId="0" applyNumberFormat="1" applyFont="1" applyBorder="1"/>
    <xf numFmtId="3" fontId="0" fillId="0" borderId="0" xfId="0" applyNumberFormat="1"/>
    <xf numFmtId="164" fontId="0" fillId="6" borderId="0" xfId="0" applyNumberFormat="1" applyFill="1"/>
    <xf numFmtId="9" fontId="0" fillId="0" borderId="0" xfId="1" applyFont="1" applyAlignment="1">
      <alignment horizontal="left"/>
    </xf>
    <xf numFmtId="0" fontId="0" fillId="0" borderId="0" xfId="0" applyAlignment="1">
      <alignment horizontal="center"/>
    </xf>
    <xf numFmtId="1" fontId="0" fillId="0" borderId="5" xfId="0" applyNumberFormat="1" applyBorder="1" applyAlignment="1">
      <alignment horizontal="right"/>
    </xf>
    <xf numFmtId="1" fontId="0" fillId="0" borderId="0" xfId="0" applyNumberFormat="1" applyAlignment="1">
      <alignment horizontal="right"/>
    </xf>
    <xf numFmtId="0" fontId="3" fillId="0" borderId="12" xfId="0" applyFont="1" applyBorder="1"/>
    <xf numFmtId="0" fontId="0" fillId="0" borderId="13" xfId="0" applyBorder="1"/>
    <xf numFmtId="0" fontId="0" fillId="0" borderId="14" xfId="0" applyBorder="1"/>
    <xf numFmtId="0" fontId="7" fillId="0" borderId="0" xfId="0" applyFont="1"/>
    <xf numFmtId="0" fontId="7" fillId="0" borderId="16" xfId="0" applyFont="1" applyBorder="1"/>
    <xf numFmtId="9" fontId="7" fillId="0" borderId="0" xfId="1" applyFont="1" applyBorder="1"/>
    <xf numFmtId="9" fontId="7" fillId="0" borderId="16" xfId="1" applyFont="1" applyBorder="1"/>
    <xf numFmtId="9" fontId="7" fillId="0" borderId="19" xfId="1" applyFont="1" applyBorder="1"/>
    <xf numFmtId="9" fontId="3" fillId="0" borderId="0" xfId="1" applyFont="1" applyBorder="1" applyAlignment="1">
      <alignment horizontal="center"/>
    </xf>
    <xf numFmtId="9" fontId="3" fillId="0" borderId="15" xfId="0" applyNumberFormat="1" applyFont="1" applyBorder="1" applyAlignment="1">
      <alignment horizontal="center"/>
    </xf>
    <xf numFmtId="9" fontId="3" fillId="0" borderId="17" xfId="0" applyNumberFormat="1" applyFont="1" applyBorder="1" applyAlignment="1">
      <alignment horizontal="center"/>
    </xf>
    <xf numFmtId="9" fontId="7" fillId="0" borderId="18" xfId="1" applyFont="1" applyBorder="1"/>
    <xf numFmtId="0" fontId="0" fillId="0" borderId="0" xfId="0" applyAlignment="1">
      <alignment horizontal="right"/>
    </xf>
    <xf numFmtId="164" fontId="2" fillId="7" borderId="0" xfId="0" applyNumberFormat="1" applyFont="1" applyFill="1" applyAlignment="1">
      <alignment horizontal="left"/>
    </xf>
    <xf numFmtId="0" fontId="0" fillId="8" borderId="0" xfId="0" applyFill="1"/>
    <xf numFmtId="0" fontId="0" fillId="9" borderId="0" xfId="0" applyFill="1"/>
    <xf numFmtId="0" fontId="0" fillId="10" borderId="0" xfId="0" applyFill="1"/>
    <xf numFmtId="0" fontId="0" fillId="11" borderId="0" xfId="0" applyFill="1"/>
    <xf numFmtId="9" fontId="7" fillId="12" borderId="20" xfId="1" applyFont="1" applyFill="1" applyBorder="1"/>
    <xf numFmtId="0" fontId="0" fillId="12" borderId="21" xfId="0" applyFill="1" applyBorder="1"/>
    <xf numFmtId="0" fontId="0" fillId="12" borderId="21" xfId="0" applyFill="1" applyBorder="1" applyAlignment="1">
      <alignment horizontal="right"/>
    </xf>
    <xf numFmtId="0" fontId="0" fillId="12" borderId="22" xfId="0" applyFill="1" applyBorder="1"/>
    <xf numFmtId="0" fontId="0" fillId="0" borderId="18" xfId="0" applyBorder="1"/>
    <xf numFmtId="0" fontId="6" fillId="0" borderId="23" xfId="0" applyFont="1" applyBorder="1" applyAlignment="1">
      <alignment horizontal="center"/>
    </xf>
    <xf numFmtId="0" fontId="9" fillId="7" borderId="2" xfId="0" applyFont="1" applyFill="1" applyBorder="1"/>
    <xf numFmtId="1" fontId="0" fillId="0" borderId="18" xfId="0" applyNumberFormat="1" applyBorder="1" applyAlignment="1">
      <alignment horizontal="center"/>
    </xf>
    <xf numFmtId="1" fontId="0" fillId="13" borderId="0" xfId="0" applyNumberFormat="1" applyFill="1" applyAlignment="1">
      <alignment horizontal="center"/>
    </xf>
    <xf numFmtId="0" fontId="0" fillId="13" borderId="0" xfId="0" applyFill="1"/>
    <xf numFmtId="1" fontId="0" fillId="13" borderId="13" xfId="0" applyNumberFormat="1" applyFill="1" applyBorder="1" applyAlignment="1">
      <alignment horizontal="center"/>
    </xf>
    <xf numFmtId="0" fontId="0" fillId="13" borderId="13" xfId="0" applyFill="1" applyBorder="1"/>
    <xf numFmtId="0" fontId="0" fillId="0" borderId="0" xfId="0" applyAlignment="1">
      <alignment vertical="center" wrapText="1"/>
    </xf>
    <xf numFmtId="1" fontId="3" fillId="0" borderId="0" xfId="0" applyNumberFormat="1" applyFont="1"/>
    <xf numFmtId="0" fontId="0" fillId="14" borderId="0" xfId="0" applyFill="1"/>
    <xf numFmtId="0" fontId="0" fillId="15" borderId="0" xfId="0" applyFill="1"/>
    <xf numFmtId="0" fontId="0" fillId="16" borderId="0" xfId="0" applyFill="1"/>
    <xf numFmtId="0" fontId="0" fillId="17" borderId="0" xfId="0" applyFill="1"/>
    <xf numFmtId="1" fontId="2" fillId="0" borderId="0" xfId="0" applyNumberFormat="1" applyFont="1"/>
    <xf numFmtId="0" fontId="3" fillId="7" borderId="24" xfId="0" applyFont="1" applyFill="1" applyBorder="1" applyAlignment="1">
      <alignment horizontal="center"/>
    </xf>
    <xf numFmtId="0" fontId="10" fillId="18" borderId="0" xfId="0" applyFont="1" applyFill="1"/>
    <xf numFmtId="9" fontId="8" fillId="2" borderId="0" xfId="1" applyFont="1" applyFill="1"/>
    <xf numFmtId="9" fontId="0" fillId="2" borderId="0" xfId="1" applyFont="1" applyFill="1"/>
    <xf numFmtId="9" fontId="0" fillId="0" borderId="0" xfId="0" applyNumberFormat="1"/>
    <xf numFmtId="9" fontId="11" fillId="0" borderId="0" xfId="0" applyNumberFormat="1" applyFont="1"/>
    <xf numFmtId="0" fontId="0" fillId="19" borderId="0" xfId="0" applyFill="1"/>
    <xf numFmtId="9" fontId="0" fillId="0" borderId="0" xfId="1" applyFont="1" applyFill="1"/>
    <xf numFmtId="0" fontId="0" fillId="5" borderId="0" xfId="0" applyFill="1" applyAlignment="1">
      <alignment horizontal="center"/>
    </xf>
    <xf numFmtId="0" fontId="0" fillId="6" borderId="0" xfId="0" applyFill="1" applyAlignment="1">
      <alignment horizontal="center"/>
    </xf>
    <xf numFmtId="9" fontId="0" fillId="20" borderId="25" xfId="1" applyFont="1" applyFill="1" applyBorder="1"/>
    <xf numFmtId="9" fontId="0" fillId="20" borderId="26" xfId="1" applyFont="1" applyFill="1" applyBorder="1"/>
    <xf numFmtId="9" fontId="0" fillId="20" borderId="27" xfId="1" applyFont="1" applyFill="1" applyBorder="1"/>
    <xf numFmtId="0" fontId="0" fillId="20" borderId="26" xfId="0" applyFill="1" applyBorder="1"/>
    <xf numFmtId="9" fontId="0" fillId="20" borderId="28" xfId="1" applyFont="1" applyFill="1" applyBorder="1"/>
    <xf numFmtId="9" fontId="0" fillId="20" borderId="29" xfId="1" applyFont="1" applyFill="1" applyBorder="1"/>
    <xf numFmtId="9" fontId="0" fillId="20" borderId="30" xfId="1" applyFont="1" applyFill="1" applyBorder="1"/>
    <xf numFmtId="0" fontId="4" fillId="0" borderId="0" xfId="1" applyNumberFormat="1" applyFont="1" applyFill="1"/>
    <xf numFmtId="1" fontId="4" fillId="0" borderId="0" xfId="0" applyNumberFormat="1" applyFont="1"/>
    <xf numFmtId="9" fontId="4" fillId="0" borderId="0" xfId="0" applyNumberFormat="1" applyFont="1"/>
    <xf numFmtId="0" fontId="12" fillId="0" borderId="0" xfId="0" applyFont="1" applyAlignment="1">
      <alignment horizontal="center"/>
    </xf>
    <xf numFmtId="10" fontId="0" fillId="0" borderId="0" xfId="0" applyNumberFormat="1"/>
    <xf numFmtId="10" fontId="10" fillId="18" borderId="0" xfId="0" applyNumberFormat="1" applyFont="1" applyFill="1"/>
    <xf numFmtId="10" fontId="0" fillId="9" borderId="0" xfId="0" applyNumberFormat="1" applyFill="1"/>
    <xf numFmtId="10" fontId="0" fillId="10" borderId="0" xfId="0" applyNumberFormat="1" applyFill="1"/>
    <xf numFmtId="10" fontId="0" fillId="8" borderId="0" xfId="0" applyNumberFormat="1" applyFill="1"/>
    <xf numFmtId="10" fontId="0" fillId="15" borderId="0" xfId="0" applyNumberFormat="1" applyFill="1"/>
    <xf numFmtId="10" fontId="0" fillId="16" borderId="0" xfId="0" applyNumberFormat="1" applyFill="1"/>
    <xf numFmtId="10" fontId="0" fillId="17" borderId="0" xfId="0" applyNumberFormat="1" applyFill="1"/>
    <xf numFmtId="10" fontId="0" fillId="0" borderId="0" xfId="1" applyNumberFormat="1" applyFont="1"/>
    <xf numFmtId="10" fontId="0" fillId="18" borderId="0" xfId="0" applyNumberFormat="1" applyFill="1"/>
    <xf numFmtId="0" fontId="4" fillId="0" borderId="0" xfId="0" applyFont="1"/>
    <xf numFmtId="9" fontId="10" fillId="18" borderId="0" xfId="0" applyNumberFormat="1" applyFont="1" applyFill="1"/>
    <xf numFmtId="9" fontId="0" fillId="9" borderId="0" xfId="0" applyNumberFormat="1" applyFill="1"/>
    <xf numFmtId="9" fontId="0" fillId="10" borderId="0" xfId="0" applyNumberFormat="1" applyFill="1"/>
    <xf numFmtId="9" fontId="0" fillId="8" borderId="0" xfId="0" applyNumberFormat="1" applyFill="1"/>
    <xf numFmtId="9" fontId="0" fillId="15" borderId="0" xfId="0" applyNumberFormat="1" applyFill="1"/>
    <xf numFmtId="9" fontId="0" fillId="16" borderId="0" xfId="0" applyNumberFormat="1" applyFill="1"/>
    <xf numFmtId="9" fontId="0" fillId="17" borderId="0" xfId="0" applyNumberFormat="1" applyFill="1"/>
    <xf numFmtId="9" fontId="0" fillId="0" borderId="0" xfId="1" applyFont="1" applyFill="1" applyBorder="1"/>
    <xf numFmtId="0" fontId="8" fillId="0" borderId="0" xfId="0" applyFont="1"/>
    <xf numFmtId="9" fontId="8" fillId="0" borderId="0" xfId="1" applyFont="1" applyFill="1"/>
    <xf numFmtId="9" fontId="8" fillId="0" borderId="0" xfId="1" applyFont="1"/>
    <xf numFmtId="0" fontId="3" fillId="0" borderId="24" xfId="0" applyFont="1" applyBorder="1" applyAlignment="1">
      <alignment horizontal="center"/>
    </xf>
    <xf numFmtId="0" fontId="4" fillId="0" borderId="0" xfId="1" applyNumberFormat="1" applyFont="1" applyFill="1" applyBorder="1"/>
    <xf numFmtId="0" fontId="9" fillId="21" borderId="0" xfId="0" applyFont="1" applyFill="1" applyAlignment="1">
      <alignment horizontal="right"/>
    </xf>
    <xf numFmtId="0" fontId="16" fillId="0" borderId="0" xfId="0" applyFont="1"/>
    <xf numFmtId="9" fontId="16" fillId="0" borderId="0" xfId="1" applyFont="1" applyAlignment="1">
      <alignment horizontal="center"/>
    </xf>
    <xf numFmtId="9" fontId="4" fillId="0" borderId="0" xfId="1" applyFont="1" applyFill="1"/>
    <xf numFmtId="9" fontId="4" fillId="0" borderId="0" xfId="1" applyFont="1"/>
    <xf numFmtId="0" fontId="13" fillId="0" borderId="0" xfId="0" applyFont="1" applyAlignment="1">
      <alignment horizontal="center"/>
    </xf>
    <xf numFmtId="0" fontId="17" fillId="0" borderId="0" xfId="0" applyFont="1"/>
    <xf numFmtId="9" fontId="17" fillId="0" borderId="0" xfId="1" applyFont="1" applyAlignment="1">
      <alignment horizontal="center"/>
    </xf>
    <xf numFmtId="9" fontId="4" fillId="0" borderId="0" xfId="1" applyFont="1" applyFill="1" applyBorder="1"/>
    <xf numFmtId="0" fontId="12" fillId="0" borderId="0" xfId="0" applyFont="1"/>
    <xf numFmtId="0" fontId="4" fillId="0" borderId="0" xfId="0" applyFont="1" applyAlignment="1">
      <alignment horizontal="center"/>
    </xf>
    <xf numFmtId="0" fontId="3" fillId="0" borderId="0" xfId="0" applyFont="1" applyAlignment="1">
      <alignment horizontal="center" vertical="center" wrapText="1"/>
    </xf>
    <xf numFmtId="0" fontId="0" fillId="0" borderId="0" xfId="0" applyAlignment="1">
      <alignment horizontal="left" vertical="center" wrapText="1"/>
    </xf>
    <xf numFmtId="0" fontId="19" fillId="0" borderId="0" xfId="2" applyAlignment="1">
      <alignment horizontal="left" vertical="center" wrapText="1"/>
    </xf>
    <xf numFmtId="1" fontId="0" fillId="0" borderId="0" xfId="0" applyNumberFormat="1"/>
    <xf numFmtId="49" fontId="0" fillId="0" borderId="0" xfId="0" applyNumberFormat="1"/>
    <xf numFmtId="0" fontId="0" fillId="0" borderId="0" xfId="0" applyAlignment="1">
      <alignment vertical="top" wrapText="1"/>
    </xf>
    <xf numFmtId="0" fontId="9" fillId="0" borderId="0" xfId="0" applyFont="1" applyAlignment="1">
      <alignment horizontal="right"/>
    </xf>
    <xf numFmtId="0" fontId="0" fillId="0" borderId="0" xfId="0" applyAlignment="1">
      <alignment horizontal="center" vertical="center" wrapText="1"/>
    </xf>
    <xf numFmtId="0" fontId="9" fillId="22" borderId="0" xfId="0" applyFont="1" applyFill="1" applyAlignment="1">
      <alignment horizontal="center" vertical="center"/>
    </xf>
    <xf numFmtId="0" fontId="6" fillId="0" borderId="0" xfId="0" applyFont="1"/>
    <xf numFmtId="0" fontId="9" fillId="22" borderId="31" xfId="0" applyFont="1" applyFill="1" applyBorder="1" applyAlignment="1">
      <alignment horizontal="center" vertical="center"/>
    </xf>
    <xf numFmtId="165" fontId="7" fillId="0" borderId="0" xfId="1" applyNumberFormat="1" applyFont="1" applyBorder="1"/>
    <xf numFmtId="165" fontId="7" fillId="0" borderId="16" xfId="1" applyNumberFormat="1" applyFont="1" applyBorder="1"/>
    <xf numFmtId="0" fontId="0" fillId="0" borderId="12" xfId="0" applyBorder="1" applyAlignment="1">
      <alignment horizontal="right" vertical="center" wrapText="1"/>
    </xf>
    <xf numFmtId="9" fontId="0" fillId="0" borderId="14" xfId="1" applyFont="1" applyBorder="1" applyAlignment="1">
      <alignment horizontal="center" vertical="center" wrapText="1"/>
    </xf>
    <xf numFmtId="0" fontId="0" fillId="0" borderId="17" xfId="0" applyBorder="1" applyAlignment="1">
      <alignment horizontal="right" vertical="center" wrapText="1"/>
    </xf>
    <xf numFmtId="9" fontId="0" fillId="0" borderId="19" xfId="1" applyFont="1" applyBorder="1" applyAlignment="1">
      <alignment horizontal="center" vertical="center" wrapText="1"/>
    </xf>
    <xf numFmtId="9" fontId="7" fillId="0" borderId="0" xfId="1" applyFont="1"/>
    <xf numFmtId="0" fontId="4" fillId="0" borderId="0" xfId="1" applyNumberFormat="1" applyFont="1" applyFill="1" applyAlignment="1">
      <alignment horizontal="center"/>
    </xf>
    <xf numFmtId="0" fontId="13" fillId="0" borderId="0" xfId="0" applyFont="1"/>
    <xf numFmtId="0" fontId="4" fillId="0" borderId="0" xfId="0" applyFont="1" applyAlignment="1">
      <alignment vertical="center" wrapText="1"/>
    </xf>
    <xf numFmtId="0" fontId="22" fillId="0" borderId="0" xfId="0" applyFont="1"/>
    <xf numFmtId="0" fontId="8" fillId="0" borderId="0" xfId="0" applyFont="1" applyAlignment="1">
      <alignment vertical="center" wrapText="1"/>
    </xf>
    <xf numFmtId="1" fontId="8" fillId="0" borderId="0" xfId="0" applyNumberFormat="1" applyFont="1" applyAlignment="1">
      <alignment horizontal="center"/>
    </xf>
    <xf numFmtId="1" fontId="8" fillId="13" borderId="0" xfId="0" applyNumberFormat="1" applyFont="1" applyFill="1" applyAlignment="1">
      <alignment horizontal="center"/>
    </xf>
    <xf numFmtId="0" fontId="23" fillId="0" borderId="0" xfId="0" applyFont="1" applyAlignment="1">
      <alignment horizontal="left"/>
    </xf>
    <xf numFmtId="9" fontId="17" fillId="0" borderId="0" xfId="1" applyFont="1"/>
    <xf numFmtId="3" fontId="16" fillId="0" borderId="0" xfId="0" applyNumberFormat="1" applyFont="1"/>
    <xf numFmtId="3" fontId="3" fillId="0" borderId="0" xfId="0" applyNumberFormat="1" applyFont="1"/>
    <xf numFmtId="3" fontId="17" fillId="0" borderId="0" xfId="0" applyNumberFormat="1" applyFont="1"/>
    <xf numFmtId="9" fontId="17" fillId="0" borderId="32" xfId="1" applyFont="1" applyBorder="1"/>
    <xf numFmtId="9" fontId="17" fillId="0" borderId="33" xfId="1" applyFont="1" applyBorder="1"/>
    <xf numFmtId="9" fontId="17" fillId="0" borderId="34" xfId="1" applyFont="1" applyBorder="1"/>
    <xf numFmtId="3" fontId="0" fillId="0" borderId="18" xfId="0" applyNumberFormat="1" applyBorder="1"/>
    <xf numFmtId="3" fontId="0" fillId="0" borderId="13" xfId="0" applyNumberFormat="1" applyBorder="1"/>
    <xf numFmtId="0" fontId="24" fillId="0" borderId="0" xfId="0" applyFont="1"/>
    <xf numFmtId="1" fontId="25" fillId="0" borderId="0" xfId="0" applyNumberFormat="1" applyFont="1"/>
    <xf numFmtId="9" fontId="25" fillId="0" borderId="0" xfId="0" applyNumberFormat="1" applyFont="1"/>
    <xf numFmtId="0" fontId="24" fillId="0" borderId="36" xfId="0" applyFont="1" applyBorder="1"/>
    <xf numFmtId="1" fontId="25" fillId="0" borderId="36" xfId="0" applyNumberFormat="1" applyFont="1" applyBorder="1"/>
    <xf numFmtId="0" fontId="24" fillId="0" borderId="35" xfId="0" applyFont="1" applyBorder="1"/>
    <xf numFmtId="9" fontId="25" fillId="0" borderId="35" xfId="0" applyNumberFormat="1" applyFont="1" applyBorder="1"/>
    <xf numFmtId="0" fontId="24" fillId="0" borderId="37" xfId="0" applyFont="1" applyBorder="1"/>
    <xf numFmtId="1" fontId="25" fillId="0" borderId="37" xfId="0" applyNumberFormat="1" applyFont="1" applyBorder="1"/>
    <xf numFmtId="0" fontId="24" fillId="0" borderId="38" xfId="0" applyFont="1" applyBorder="1"/>
    <xf numFmtId="9" fontId="25" fillId="0" borderId="38" xfId="0" applyNumberFormat="1" applyFont="1" applyBorder="1"/>
    <xf numFmtId="0" fontId="0" fillId="0" borderId="0" xfId="0"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15" fillId="0" borderId="0" xfId="0" applyFont="1" applyAlignment="1">
      <alignment horizontal="center"/>
    </xf>
    <xf numFmtId="0" fontId="15" fillId="0" borderId="8" xfId="0" applyFont="1" applyBorder="1" applyAlignment="1">
      <alignment horizontal="center"/>
    </xf>
    <xf numFmtId="0" fontId="16" fillId="0" borderId="8" xfId="0" applyFont="1" applyBorder="1" applyAlignment="1">
      <alignment horizontal="center"/>
    </xf>
    <xf numFmtId="0" fontId="18" fillId="0" borderId="0" xfId="0" applyFont="1" applyAlignment="1">
      <alignment horizontal="center"/>
    </xf>
    <xf numFmtId="0" fontId="18" fillId="0" borderId="8" xfId="0" applyFont="1" applyBorder="1" applyAlignment="1">
      <alignment horizontal="center"/>
    </xf>
    <xf numFmtId="0" fontId="3" fillId="0" borderId="15" xfId="0" applyFont="1" applyBorder="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workbookViewId="0"/>
  </sheetViews>
  <sheetFormatPr baseColWidth="10" defaultColWidth="9.140625" defaultRowHeight="15" x14ac:dyDescent="0.25"/>
  <cols>
    <col min="5" max="5" width="10" customWidth="1"/>
    <col min="9" max="9" width="10.42578125" customWidth="1"/>
    <col min="14" max="14" width="9.5703125" bestFit="1" customWidth="1"/>
  </cols>
  <sheetData>
    <row r="1" spans="1:17" x14ac:dyDescent="0.25">
      <c r="A1" s="1" t="s">
        <v>12</v>
      </c>
      <c r="E1" s="1" t="s">
        <v>13</v>
      </c>
      <c r="H1" s="108"/>
      <c r="I1" s="145" t="s">
        <v>29</v>
      </c>
      <c r="J1" s="108"/>
      <c r="K1" s="108"/>
      <c r="L1" s="108" t="s">
        <v>193</v>
      </c>
      <c r="M1" s="108"/>
      <c r="N1" s="108"/>
      <c r="O1" s="108"/>
      <c r="P1" s="108"/>
      <c r="Q1" s="108"/>
    </row>
    <row r="2" spans="1:17" x14ac:dyDescent="0.25">
      <c r="A2" s="1">
        <v>12</v>
      </c>
      <c r="B2" t="s">
        <v>0</v>
      </c>
      <c r="E2" s="25">
        <v>197094</v>
      </c>
      <c r="F2" s="141">
        <f t="shared" ref="F2:F13" si="0">E2/SUM(E$2:E$13)</f>
        <v>5.6099478361436627E-3</v>
      </c>
      <c r="H2" s="146"/>
      <c r="I2" s="108"/>
      <c r="J2" s="108"/>
      <c r="K2" s="108" t="s">
        <v>57</v>
      </c>
      <c r="L2" s="109">
        <f>(I4-E4)/SUM(E2:E3,E5,E7:E13)</f>
        <v>0.52256918699347077</v>
      </c>
      <c r="M2" s="108">
        <f>L3*SUM(E2:E3,E5,E7:E13)</f>
        <v>5163932</v>
      </c>
      <c r="N2" s="108">
        <f>E4-M2/2</f>
        <v>7201092</v>
      </c>
      <c r="O2" s="108"/>
      <c r="P2" s="108"/>
      <c r="Q2" s="108"/>
    </row>
    <row r="3" spans="1:17" x14ac:dyDescent="0.25">
      <c r="B3" t="s">
        <v>1</v>
      </c>
      <c r="E3" s="25">
        <v>802422</v>
      </c>
      <c r="F3" s="141">
        <f t="shared" si="0"/>
        <v>2.2839587012156992E-2</v>
      </c>
      <c r="H3" s="146"/>
      <c r="I3" s="108"/>
      <c r="J3" s="108"/>
      <c r="K3" s="108" t="s">
        <v>58</v>
      </c>
      <c r="L3" s="109">
        <f>(I6-E6)/SUM(E2:E3,E5,E7:E13)</f>
        <v>0.29994851900211089</v>
      </c>
      <c r="M3" s="108">
        <f>L2*SUM(E2:E3,E5,E7:E13)</f>
        <v>8996583</v>
      </c>
      <c r="N3" s="108">
        <f>E6-M3/2</f>
        <v>3635536.5</v>
      </c>
      <c r="O3" s="108"/>
      <c r="P3" s="108"/>
      <c r="Q3" s="108"/>
    </row>
    <row r="4" spans="1:17" x14ac:dyDescent="0.25">
      <c r="B4" t="s">
        <v>2</v>
      </c>
      <c r="E4" s="25">
        <v>9783058</v>
      </c>
      <c r="F4" s="141">
        <f t="shared" si="0"/>
        <v>0.27845822327401115</v>
      </c>
      <c r="H4" s="146"/>
      <c r="I4" s="25">
        <v>18779641</v>
      </c>
      <c r="J4" s="108"/>
      <c r="K4" s="108"/>
      <c r="L4" s="108"/>
      <c r="M4" s="108"/>
      <c r="N4" s="108"/>
      <c r="O4" s="108"/>
      <c r="P4" s="108"/>
      <c r="Q4" s="108"/>
    </row>
    <row r="5" spans="1:17" x14ac:dyDescent="0.25">
      <c r="B5" t="s">
        <v>3</v>
      </c>
      <c r="E5" s="25">
        <v>1101387</v>
      </c>
      <c r="F5" s="141">
        <f t="shared" si="0"/>
        <v>3.1349120812438534E-2</v>
      </c>
      <c r="H5" s="146"/>
      <c r="I5" s="108"/>
      <c r="J5" s="108"/>
      <c r="K5" s="108"/>
      <c r="L5" s="108"/>
      <c r="M5" s="108">
        <v>8996583</v>
      </c>
      <c r="N5" s="108"/>
      <c r="O5" s="108"/>
      <c r="P5" s="108"/>
      <c r="Q5" s="108"/>
    </row>
    <row r="6" spans="1:17" x14ac:dyDescent="0.25">
      <c r="B6" t="s">
        <v>4</v>
      </c>
      <c r="E6" s="25">
        <v>8133828</v>
      </c>
      <c r="F6" s="141">
        <f t="shared" si="0"/>
        <v>0.23151567672361786</v>
      </c>
      <c r="H6" s="146"/>
      <c r="I6" s="25">
        <v>13297760</v>
      </c>
      <c r="J6" s="108"/>
      <c r="K6" s="108"/>
      <c r="L6" s="108"/>
      <c r="M6" s="108"/>
      <c r="N6" s="108"/>
      <c r="O6" s="108"/>
      <c r="P6" s="108"/>
      <c r="Q6" s="108"/>
    </row>
    <row r="7" spans="1:17" x14ac:dyDescent="0.25">
      <c r="B7" t="s">
        <v>5</v>
      </c>
      <c r="E7" s="25">
        <v>2485226</v>
      </c>
      <c r="F7" s="141">
        <f t="shared" si="0"/>
        <v>7.0737760769115102E-2</v>
      </c>
      <c r="H7" s="146"/>
      <c r="I7" s="108"/>
      <c r="J7" s="108"/>
      <c r="K7" s="108"/>
      <c r="L7" s="108"/>
      <c r="M7" s="108">
        <v>5163932</v>
      </c>
      <c r="N7" s="108"/>
      <c r="O7" s="108"/>
      <c r="P7" s="108"/>
      <c r="Q7" s="108"/>
    </row>
    <row r="8" spans="1:17" x14ac:dyDescent="0.25">
      <c r="B8" t="s">
        <v>6</v>
      </c>
      <c r="E8" s="25">
        <v>7712520</v>
      </c>
      <c r="F8" s="141">
        <f t="shared" si="0"/>
        <v>0.21952385605454619</v>
      </c>
      <c r="H8" s="146"/>
      <c r="I8" s="108"/>
      <c r="J8" s="108"/>
      <c r="K8" s="108"/>
      <c r="L8" s="108"/>
      <c r="M8" s="108"/>
      <c r="N8" s="108"/>
      <c r="O8" s="108"/>
      <c r="P8" s="108"/>
      <c r="Q8" s="108"/>
    </row>
    <row r="9" spans="1:17" x14ac:dyDescent="0.25">
      <c r="B9" t="s">
        <v>7</v>
      </c>
      <c r="E9" s="25">
        <v>616478</v>
      </c>
      <c r="F9" s="141">
        <f t="shared" si="0"/>
        <v>1.7547005094676514E-2</v>
      </c>
      <c r="H9" s="146"/>
      <c r="I9" s="108"/>
      <c r="J9" s="108"/>
      <c r="K9" s="108"/>
      <c r="L9" s="108"/>
      <c r="M9" s="108"/>
      <c r="N9" s="108"/>
      <c r="O9" s="108"/>
      <c r="P9" s="108"/>
      <c r="Q9" s="108"/>
    </row>
    <row r="10" spans="1:17" x14ac:dyDescent="0.25">
      <c r="B10" t="s">
        <v>8</v>
      </c>
      <c r="E10" s="25">
        <v>1627853</v>
      </c>
      <c r="F10" s="141">
        <f t="shared" si="0"/>
        <v>4.633408634920378E-2</v>
      </c>
      <c r="H10" s="146"/>
      <c r="I10" s="108"/>
      <c r="J10" s="108"/>
      <c r="K10" s="108"/>
      <c r="L10" s="108"/>
      <c r="M10" s="108"/>
      <c r="N10" s="108"/>
      <c r="O10" s="108"/>
      <c r="P10" s="108"/>
      <c r="Q10" s="108"/>
    </row>
    <row r="11" spans="1:17" x14ac:dyDescent="0.25">
      <c r="B11" t="s">
        <v>9</v>
      </c>
      <c r="E11" s="25">
        <v>1679001</v>
      </c>
      <c r="F11" s="141">
        <f t="shared" si="0"/>
        <v>4.7789927784879532E-2</v>
      </c>
      <c r="H11" s="146"/>
      <c r="I11" s="108"/>
      <c r="J11" s="108"/>
      <c r="K11" s="108"/>
      <c r="L11" s="108"/>
      <c r="M11" s="108"/>
      <c r="N11" s="108"/>
      <c r="O11" s="108"/>
      <c r="P11" s="108"/>
      <c r="Q11" s="108"/>
    </row>
    <row r="12" spans="1:17" x14ac:dyDescent="0.25">
      <c r="B12" t="s">
        <v>10</v>
      </c>
      <c r="E12" s="25">
        <v>268904</v>
      </c>
      <c r="F12" s="141">
        <f t="shared" si="0"/>
        <v>7.6538982055789403E-3</v>
      </c>
      <c r="H12" s="61"/>
    </row>
    <row r="13" spans="1:17" x14ac:dyDescent="0.25">
      <c r="B13" t="s">
        <v>11</v>
      </c>
      <c r="E13" s="25">
        <v>725176</v>
      </c>
      <c r="F13" s="141">
        <f t="shared" si="0"/>
        <v>2.0640910083631756E-2</v>
      </c>
      <c r="H13" s="61"/>
    </row>
    <row r="14" spans="1:17" x14ac:dyDescent="0.25">
      <c r="F14" s="4"/>
      <c r="H14" s="129"/>
      <c r="I14" s="129"/>
      <c r="J14" s="129"/>
      <c r="K14" s="129"/>
      <c r="L14" s="129"/>
      <c r="M14" s="129"/>
      <c r="N14" s="129"/>
    </row>
    <row r="15" spans="1:17" x14ac:dyDescent="0.25">
      <c r="B15" t="s">
        <v>14</v>
      </c>
      <c r="E15" s="25">
        <f>543609+247151</f>
        <v>790760</v>
      </c>
      <c r="F15" s="4">
        <f>E15/SUM(E$2:E$15)</f>
        <v>2.2012204920834035E-2</v>
      </c>
      <c r="H15" s="129"/>
      <c r="I15" s="129"/>
      <c r="J15" s="129"/>
      <c r="K15" s="129"/>
      <c r="L15" s="129"/>
      <c r="M15" s="129"/>
      <c r="N15" s="129"/>
    </row>
    <row r="16" spans="1:17" x14ac:dyDescent="0.25">
      <c r="B16" t="s">
        <v>15</v>
      </c>
      <c r="E16" s="25">
        <v>12824169</v>
      </c>
      <c r="F16" s="4">
        <f>E16/SUM(E$2:E$16)</f>
        <v>0.26307133873894323</v>
      </c>
      <c r="H16" s="129"/>
      <c r="I16" s="129"/>
      <c r="J16" s="129"/>
      <c r="K16" s="129"/>
      <c r="L16" s="129"/>
      <c r="M16" s="129"/>
      <c r="N16" s="129"/>
    </row>
    <row r="17" spans="1:14" x14ac:dyDescent="0.25">
      <c r="H17" s="129"/>
      <c r="I17" s="129"/>
      <c r="J17" s="129"/>
      <c r="K17" s="129"/>
      <c r="L17" s="129"/>
      <c r="M17" s="129"/>
      <c r="N17" s="129"/>
    </row>
    <row r="18" spans="1:14" x14ac:dyDescent="0.25">
      <c r="A18" s="128"/>
      <c r="F18" s="127"/>
      <c r="H18" s="129"/>
      <c r="I18" s="129"/>
      <c r="J18" s="129"/>
      <c r="K18" s="129"/>
      <c r="L18" s="129"/>
      <c r="M18" s="129"/>
      <c r="N18" s="129"/>
    </row>
    <row r="19" spans="1:14" x14ac:dyDescent="0.25">
      <c r="B19" s="10"/>
      <c r="C19" s="127"/>
      <c r="E19" s="119"/>
    </row>
    <row r="20" spans="1:14" x14ac:dyDescent="0.25">
      <c r="B20" s="10"/>
      <c r="C20" s="127"/>
      <c r="E20" s="119"/>
    </row>
    <row r="21" spans="1:14" x14ac:dyDescent="0.25">
      <c r="B21" s="10"/>
      <c r="C21" s="127"/>
      <c r="E21" s="119"/>
    </row>
    <row r="22" spans="1:14" x14ac:dyDescent="0.25">
      <c r="B22" s="10"/>
      <c r="C22" s="127"/>
      <c r="E22" s="119"/>
    </row>
    <row r="23" spans="1:14" x14ac:dyDescent="0.25">
      <c r="B23" s="10"/>
      <c r="C23" s="127"/>
      <c r="E23" s="119"/>
    </row>
    <row r="24" spans="1:14" x14ac:dyDescent="0.25">
      <c r="B24" s="10"/>
      <c r="C24" s="127"/>
      <c r="E24" s="119"/>
    </row>
    <row r="25" spans="1:14" x14ac:dyDescent="0.25">
      <c r="B25" s="10"/>
      <c r="C25" s="127"/>
      <c r="E25" s="119"/>
    </row>
    <row r="26" spans="1:14" x14ac:dyDescent="0.25">
      <c r="B26" s="10"/>
      <c r="C26" s="127"/>
      <c r="E26" s="119"/>
    </row>
    <row r="27" spans="1:14" x14ac:dyDescent="0.25">
      <c r="B27" s="10"/>
      <c r="C27" s="127"/>
      <c r="E27" s="119"/>
    </row>
    <row r="28" spans="1:14" x14ac:dyDescent="0.25">
      <c r="B28" s="10"/>
      <c r="C28" s="127"/>
      <c r="E28" s="119"/>
    </row>
    <row r="29" spans="1:14" x14ac:dyDescent="0.25">
      <c r="B29" s="10"/>
      <c r="C29" s="127"/>
    </row>
    <row r="30" spans="1:14" x14ac:dyDescent="0.25">
      <c r="B30" s="10"/>
      <c r="C30" s="127"/>
    </row>
  </sheetData>
  <sortState xmlns:xlrd2="http://schemas.microsoft.com/office/spreadsheetml/2017/richdata2" ref="K5:K16">
    <sortCondition ref="K5:K16"/>
  </sortState>
  <conditionalFormatting sqref="F2:F13">
    <cfRule type="dataBar" priority="1">
      <dataBar>
        <cfvo type="min"/>
        <cfvo type="max"/>
        <color rgb="FFFFB628"/>
      </dataBar>
      <extLst>
        <ext xmlns:x14="http://schemas.microsoft.com/office/spreadsheetml/2009/9/main" uri="{B025F937-C7B1-47D3-B67F-A62EFF666E3E}">
          <x14:id>{50F0A67A-1CF3-4D43-9F9F-58FA89552AD6}</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0F0A67A-1CF3-4D43-9F9F-58FA89552AD6}">
            <x14:dataBar minLength="0" maxLength="100" border="1" negativeBarBorderColorSameAsPositive="0">
              <x14:cfvo type="autoMin"/>
              <x14:cfvo type="autoMax"/>
              <x14:borderColor rgb="FFFFB628"/>
              <x14:negativeFillColor rgb="FFFF0000"/>
              <x14:negativeBorderColor rgb="FFFF0000"/>
              <x14:axisColor rgb="FF000000"/>
            </x14:dataBar>
          </x14:cfRule>
          <xm:sqref>F2:F13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8088-AE2F-4EA0-9722-FC638EB1CE37}">
  <sheetPr>
    <pageSetUpPr fitToPage="1"/>
  </sheetPr>
  <dimension ref="A2:AY111"/>
  <sheetViews>
    <sheetView tabSelected="1" workbookViewId="0"/>
  </sheetViews>
  <sheetFormatPr baseColWidth="10" defaultRowHeight="15" x14ac:dyDescent="0.25"/>
  <cols>
    <col min="1" max="1" width="2.7109375" customWidth="1"/>
    <col min="2" max="2" width="16.7109375" customWidth="1"/>
    <col min="3" max="4" width="10.5703125" bestFit="1" customWidth="1"/>
    <col min="5" max="5" width="10" bestFit="1" customWidth="1"/>
    <col min="6" max="7" width="9.5703125" bestFit="1" customWidth="1"/>
    <col min="8" max="8" width="11.28515625" bestFit="1" customWidth="1"/>
    <col min="9" max="9" width="11.5703125" bestFit="1" customWidth="1"/>
    <col min="10" max="10" width="14.28515625" bestFit="1" customWidth="1"/>
    <col min="11" max="11" width="10" bestFit="1" customWidth="1"/>
    <col min="12" max="12" width="11.5703125" bestFit="1" customWidth="1"/>
    <col min="13" max="13" width="11.140625" bestFit="1" customWidth="1"/>
    <col min="14" max="14" width="9.5703125" bestFit="1" customWidth="1"/>
    <col min="15" max="15" width="17" bestFit="1" customWidth="1"/>
    <col min="16" max="16" width="3.5703125" customWidth="1"/>
    <col min="17" max="17" width="3.28515625" customWidth="1"/>
    <col min="18" max="18" width="49.5703125" customWidth="1"/>
    <col min="19" max="20" width="7.140625" customWidth="1"/>
    <col min="21" max="21" width="12" bestFit="1" customWidth="1"/>
    <col min="22" max="22" width="17" customWidth="1"/>
  </cols>
  <sheetData>
    <row r="2" spans="1:25" x14ac:dyDescent="0.25">
      <c r="J2" s="1" t="s">
        <v>42</v>
      </c>
      <c r="T2" s="1" t="s">
        <v>47</v>
      </c>
    </row>
    <row r="3" spans="1:25" ht="15.75" thickBot="1" x14ac:dyDescent="0.3">
      <c r="J3" t="s">
        <v>43</v>
      </c>
      <c r="T3" s="54" t="s">
        <v>48</v>
      </c>
      <c r="U3" s="54" t="s">
        <v>28</v>
      </c>
      <c r="V3" s="54" t="s">
        <v>12</v>
      </c>
      <c r="W3" s="149" t="s">
        <v>166</v>
      </c>
    </row>
    <row r="4" spans="1:25" ht="15.75" thickTop="1" x14ac:dyDescent="0.25">
      <c r="B4" s="11" t="s">
        <v>39</v>
      </c>
      <c r="C4" s="12" t="s">
        <v>28</v>
      </c>
      <c r="D4" s="11" t="s">
        <v>31</v>
      </c>
      <c r="E4" s="11" t="s">
        <v>32</v>
      </c>
      <c r="F4" s="31" t="s">
        <v>191</v>
      </c>
      <c r="G4" s="32"/>
      <c r="H4" s="33"/>
      <c r="J4" t="s">
        <v>44</v>
      </c>
      <c r="T4" s="170">
        <v>1995</v>
      </c>
      <c r="U4" s="57">
        <v>28</v>
      </c>
      <c r="V4" s="58" t="s">
        <v>50</v>
      </c>
      <c r="W4" s="156">
        <v>0.53</v>
      </c>
      <c r="X4" s="162" t="s">
        <v>190</v>
      </c>
      <c r="Y4" s="163">
        <f>U4-U5</f>
        <v>4</v>
      </c>
    </row>
    <row r="5" spans="1:25" ht="15.75" thickBot="1" x14ac:dyDescent="0.3">
      <c r="B5" s="118">
        <v>6</v>
      </c>
      <c r="C5" s="55">
        <v>100000</v>
      </c>
      <c r="D5" s="1"/>
      <c r="E5" s="1"/>
      <c r="F5" s="178" t="s">
        <v>194</v>
      </c>
      <c r="G5" s="34" t="s">
        <v>35</v>
      </c>
      <c r="H5" s="35" t="s">
        <v>36</v>
      </c>
      <c r="J5" t="s">
        <v>45</v>
      </c>
      <c r="T5" s="171"/>
      <c r="U5" s="56">
        <v>24</v>
      </c>
      <c r="V5" s="53" t="s">
        <v>49</v>
      </c>
      <c r="W5" s="155">
        <v>0.47</v>
      </c>
      <c r="X5" s="164"/>
      <c r="Y5" s="165">
        <f>W4-W5</f>
        <v>6.0000000000000053E-2</v>
      </c>
    </row>
    <row r="6" spans="1:25" x14ac:dyDescent="0.25">
      <c r="A6" s="132">
        <v>12</v>
      </c>
      <c r="B6" s="15" t="s">
        <v>16</v>
      </c>
      <c r="C6" s="16">
        <f ca="1">(D6-E6/B$5)/C$5</f>
        <v>-3.0197555464699177</v>
      </c>
      <c r="D6" s="17">
        <f>'Scrutin habituel'!E2+D$26*'Scrutin habituel'!E$3+D$27*'Scrutin habituel'!E$4+D$28*'Scrutin habituel'!E$5+D$29*'Scrutin habituel'!E$6+D$30*'Scrutin habituel'!E$7+D$31*'Scrutin habituel'!E$8+D$32*'Scrutin habituel'!E$9+D$33*'Scrutin habituel'!E$10+D$34*'Scrutin habituel'!E$11+D$35*'Scrutin habituel'!E$12+D$36*'Scrutin habituel'!E$13</f>
        <v>537858.06639087049</v>
      </c>
      <c r="E6" s="18">
        <f ca="1">D$43*'Scrutin habituel'!E$3+D$44*'Scrutin habituel'!E$4+D$45*'Scrutin habituel'!E$5+D$46*'Scrutin habituel'!E$6+D$47*'Scrutin habituel'!E$7+D$48*'Scrutin habituel'!E$8+D$49*'Scrutin habituel'!E$9+D$50*'Scrutin habituel'!E$10+D$51*'Scrutin habituel'!E$11+D$52*'Scrutin habituel'!E$12+D$53*'Scrutin habituel'!E$13+'Scrutin habituel'!E15*D54+'Scrutin habituel'!E16*D55</f>
        <v>5039001.7262271736</v>
      </c>
      <c r="F6" s="39">
        <f ca="1">C6/SUM(C$6:C$17)-'Scrutin habituel'!E2/SUM('Scrutin habituel'!E$2:E$13)</f>
        <v>-1.197728454065428E-2</v>
      </c>
      <c r="G6" s="135">
        <f>'Scrutin habituel'!E2/SUM('Scrutin habituel'!E$2:E$13)</f>
        <v>5.6099478361436627E-3</v>
      </c>
      <c r="H6" s="136">
        <f ca="1">C6/SUM(C$6:C$17)</f>
        <v>-6.3673367045106169E-3</v>
      </c>
      <c r="J6" t="s">
        <v>46</v>
      </c>
      <c r="T6" s="172">
        <v>2002</v>
      </c>
      <c r="U6" s="59">
        <v>53.056955000000002</v>
      </c>
      <c r="V6" s="60" t="s">
        <v>50</v>
      </c>
      <c r="W6" s="150">
        <v>0.82</v>
      </c>
      <c r="X6" s="159" t="s">
        <v>190</v>
      </c>
      <c r="Y6" s="160">
        <f>U6-U7</f>
        <v>104.37033</v>
      </c>
    </row>
    <row r="7" spans="1:25" ht="15.75" thickBot="1" x14ac:dyDescent="0.3">
      <c r="A7" s="132">
        <v>6</v>
      </c>
      <c r="B7" s="19" t="s">
        <v>17</v>
      </c>
      <c r="C7" s="13">
        <f t="shared" ref="C7:C17" ca="1" si="0">(D7-E7/B$5)/C$5</f>
        <v>28.788669291865808</v>
      </c>
      <c r="D7" s="20">
        <f>'Scrutin habituel'!E3+E$25*'Scrutin habituel'!E$2+Proposition!E$27*'Scrutin habituel'!E$4+Proposition!E$28*'Scrutin habituel'!E$5+Proposition!E$29*'Scrutin habituel'!E$6+Proposition!E$30*'Scrutin habituel'!E$7+Proposition!E$31*'Scrutin habituel'!E$8+Proposition!E$32*'Scrutin habituel'!E$9+Proposition!E$33*'Scrutin habituel'!E$10+Proposition!E$34*'Scrutin habituel'!E$11+Proposition!E$35*'Scrutin habituel'!E$12+Proposition!E$36*'Scrutin habituel'!E$13</f>
        <v>3143359.7207265696</v>
      </c>
      <c r="E7" s="21">
        <f ca="1">E$42*'Scrutin habituel'!E$2+E$44*'Scrutin habituel'!E$4+E$45*'Scrutin habituel'!E$5+E$46*'Scrutin habituel'!E$6+E$47*'Scrutin habituel'!E$7+E$48*'Scrutin habituel'!E$8+E$49*'Scrutin habituel'!E$9+E$50*'Scrutin habituel'!E$10+E$51*'Scrutin habituel'!E$11+E$52*'Scrutin habituel'!E$12+E$53*'Scrutin habituel'!E$13+'Scrutin habituel'!E15*E54+'Scrutin habituel'!E16*E55</f>
        <v>1586956.7492399346</v>
      </c>
      <c r="F7" s="39">
        <f ca="1">C7/SUM(C$6:C$17)-'Scrutin habituel'!E3/SUM('Scrutin habituel'!E$2:E$13)</f>
        <v>3.7863058561389572E-2</v>
      </c>
      <c r="G7" s="36">
        <f>'Scrutin habituel'!E3/SUM('Scrutin habituel'!E$2:E$13)</f>
        <v>2.2839587012156992E-2</v>
      </c>
      <c r="H7" s="37">
        <f t="shared" ref="H7:H17" ca="1" si="1">C7/SUM(C$6:C$17)</f>
        <v>6.0702645573546564E-2</v>
      </c>
      <c r="J7" t="s">
        <v>185</v>
      </c>
      <c r="T7" s="171"/>
      <c r="U7" s="56">
        <v>-51.313375000000001</v>
      </c>
      <c r="V7" s="53" t="s">
        <v>51</v>
      </c>
      <c r="W7" s="150">
        <v>0.18</v>
      </c>
      <c r="X7" s="159"/>
      <c r="Y7" s="161">
        <f>W6-W7</f>
        <v>0.6399999999999999</v>
      </c>
    </row>
    <row r="8" spans="1:25" ht="16.5" thickTop="1" thickBot="1" x14ac:dyDescent="0.3">
      <c r="A8" s="134">
        <v>1</v>
      </c>
      <c r="B8" s="133" t="s">
        <v>18</v>
      </c>
      <c r="C8" s="13">
        <f t="shared" ca="1" si="0"/>
        <v>96.172819534893819</v>
      </c>
      <c r="D8" s="20">
        <f>'Scrutin habituel'!E4+F$25*'Scrutin habituel'!E$2+Proposition!F$26*'Scrutin habituel'!E$3+Proposition!F$28*'Scrutin habituel'!E$5+Proposition!F$29*'Scrutin habituel'!E$6+Proposition!F$30*'Scrutin habituel'!E$7+Proposition!F$31*'Scrutin habituel'!E$8+Proposition!F$32*'Scrutin habituel'!E$9+Proposition!F$33*'Scrutin habituel'!E$10+Proposition!F$34*'Scrutin habituel'!E$11+Proposition!F$35*'Scrutin habituel'!E$12+Proposition!F$36*'Scrutin habituel'!E$13</f>
        <v>10667650.567252757</v>
      </c>
      <c r="E8" s="21">
        <f ca="1">F$42*'Scrutin habituel'!E$2+F$43*'Scrutin habituel'!E$3+F$45*'Scrutin habituel'!E$5+F$46*'Scrutin habituel'!E$6+F$47*'Scrutin habituel'!E$7+F$48*'Scrutin habituel'!E$8+F$49*'Scrutin habituel'!E$9+F$50*'Scrutin habituel'!E$10+F$51*'Scrutin habituel'!E$11+F$52*'Scrutin habituel'!E$12+F$53*'Scrutin habituel'!E$13+'Scrutin habituel'!E16*F55+'Scrutin habituel'!E15*F54</f>
        <v>6302211.6825802475</v>
      </c>
      <c r="F8" s="39">
        <f ca="1">C8/SUM(C$6:C$17)-'Scrutin habituel'!E4/SUM('Scrutin habituel'!E$2:E$13)</f>
        <v>-7.5672032677670642E-2</v>
      </c>
      <c r="G8" s="36">
        <f>'Scrutin habituel'!E4/SUM('Scrutin habituel'!E$2:E$13)</f>
        <v>0.27845822327401115</v>
      </c>
      <c r="H8" s="37">
        <f t="shared" ca="1" si="1"/>
        <v>0.20278619059634051</v>
      </c>
      <c r="T8" s="172">
        <v>2007</v>
      </c>
      <c r="U8" s="59">
        <v>78.034989999999993</v>
      </c>
      <c r="V8" s="60" t="s">
        <v>52</v>
      </c>
      <c r="W8" s="154">
        <v>0.53</v>
      </c>
      <c r="X8" s="166" t="s">
        <v>190</v>
      </c>
      <c r="Y8" s="167">
        <f>U8-U9</f>
        <v>20.706244999999996</v>
      </c>
    </row>
    <row r="9" spans="1:25" ht="15.75" thickTop="1" x14ac:dyDescent="0.25">
      <c r="A9" s="132">
        <v>8</v>
      </c>
      <c r="B9" s="19" t="s">
        <v>19</v>
      </c>
      <c r="C9" s="13">
        <f t="shared" ca="1" si="0"/>
        <v>26.65533910707865</v>
      </c>
      <c r="D9" s="20">
        <f>'Scrutin habituel'!E5+G$25*'Scrutin habituel'!E$2+Proposition!G$26*'Scrutin habituel'!E$3+Proposition!G$27*'Scrutin habituel'!E$4+Proposition!G$29*'Scrutin habituel'!E$6+Proposition!G$30*'Scrutin habituel'!E$7+Proposition!G$31*'Scrutin habituel'!E$8+Proposition!G$32*'Scrutin habituel'!E$9+Proposition!G$33*'Scrutin habituel'!E$10+Proposition!G$34*'Scrutin habituel'!E$11+Proposition!G$35*'Scrutin habituel'!E$12+Proposition!G$36*'Scrutin habituel'!E$13</f>
        <v>2976508.956471005</v>
      </c>
      <c r="E9" s="21">
        <f ca="1">G$42*'Scrutin habituel'!E$2+G$43*'Scrutin habituel'!E$3+G$44*'Scrutin habituel'!E$4+G$46*'Scrutin habituel'!E$6+G$47*'Scrutin habituel'!E$7+G$48*'Scrutin habituel'!E$8+G$49*'Scrutin habituel'!E$9+G$50*'Scrutin habituel'!E$10+G$51*'Scrutin habituel'!E$11+G$52*'Scrutin habituel'!E$12+G$53*'Scrutin habituel'!E$13+'Scrutin habituel'!E15*G54+'Scrutin habituel'!E16*G55</f>
        <v>1865850.2745788405</v>
      </c>
      <c r="F9" s="39">
        <f ca="1">C9/SUM(C$6:C$17)-'Scrutin habituel'!E5/SUM('Scrutin habituel'!E$2:E$13)</f>
        <v>2.485526939592958E-2</v>
      </c>
      <c r="G9" s="36">
        <f>'Scrutin habituel'!E5/SUM('Scrutin habituel'!E$2:E$13)</f>
        <v>3.1349120812438534E-2</v>
      </c>
      <c r="H9" s="37">
        <f t="shared" ca="1" si="1"/>
        <v>5.6204390208368114E-2</v>
      </c>
      <c r="T9" s="171"/>
      <c r="U9" s="56">
        <v>57.328744999999998</v>
      </c>
      <c r="V9" s="53" t="s">
        <v>53</v>
      </c>
      <c r="W9" s="150">
        <v>0.47</v>
      </c>
      <c r="X9" s="168"/>
      <c r="Y9" s="169">
        <f>W8-W9</f>
        <v>6.0000000000000053E-2</v>
      </c>
    </row>
    <row r="10" spans="1:25" x14ac:dyDescent="0.25">
      <c r="A10" s="132">
        <v>2</v>
      </c>
      <c r="B10" s="19" t="s">
        <v>20</v>
      </c>
      <c r="C10" s="13">
        <f t="shared" ca="1" si="0"/>
        <v>93.640969338616927</v>
      </c>
      <c r="D10" s="20">
        <f>'Scrutin habituel'!E6+H$26*'Scrutin habituel'!E$3+Proposition!H$27*'Scrutin habituel'!E$4+Proposition!H$28*'Scrutin habituel'!E$5+Proposition!H$25*'Scrutin habituel'!E$2+Proposition!H$30*'Scrutin habituel'!E$7+Proposition!H$31*'Scrutin habituel'!E$8+Proposition!H$32*'Scrutin habituel'!E$9+Proposition!H$33*'Scrutin habituel'!E$10+Proposition!H$34*'Scrutin habituel'!E$11+Proposition!H$35*'Scrutin habituel'!E$12+Proposition!H$36*'Scrutin habituel'!E$13</f>
        <v>9902597.4437345359</v>
      </c>
      <c r="E10" s="21">
        <f ca="1">H$42*'Scrutin habituel'!E$2+H$43*'Scrutin habituel'!E$3+H$44*'Scrutin habituel'!E$4+H$45*'Scrutin habituel'!E$5+H$47*'Scrutin habituel'!E$7+H$48*'Scrutin habituel'!E$8+H$49*'Scrutin habituel'!E$9+H$50*'Scrutin habituel'!E$10+H$51*'Scrutin habituel'!E$11+H$52*'Scrutin habituel'!E$12+H$53*'Scrutin habituel'!E$13+'Scrutin habituel'!E15*H54+'Scrutin habituel'!E16*H55</f>
        <v>3231003.0592370555</v>
      </c>
      <c r="F10" s="39">
        <f ca="1">C10/SUM(C$6:C$17)-'Scrutin habituel'!E6/SUM('Scrutin habituel'!E$2:E$13)</f>
        <v>-3.4068044973181888E-2</v>
      </c>
      <c r="G10" s="36">
        <f>'Scrutin habituel'!E6/SUM('Scrutin habituel'!E$2:E$13)</f>
        <v>0.23151567672361786</v>
      </c>
      <c r="H10" s="37">
        <f t="shared" ca="1" si="1"/>
        <v>0.19744763175043598</v>
      </c>
      <c r="T10" s="172">
        <v>2012</v>
      </c>
      <c r="U10" s="59">
        <v>67.191770000000005</v>
      </c>
      <c r="V10" s="58" t="s">
        <v>54</v>
      </c>
      <c r="W10" s="154">
        <v>0.52</v>
      </c>
      <c r="X10" s="159" t="s">
        <v>190</v>
      </c>
      <c r="Y10" s="160">
        <f>U10-U11</f>
        <v>8.295295000000003</v>
      </c>
    </row>
    <row r="11" spans="1:25" x14ac:dyDescent="0.25">
      <c r="A11" s="132">
        <v>9</v>
      </c>
      <c r="B11" s="19" t="s">
        <v>21</v>
      </c>
      <c r="C11" s="13">
        <f t="shared" ca="1" si="0"/>
        <v>25.526018287513288</v>
      </c>
      <c r="D11" s="20">
        <f>'Scrutin habituel'!E7+I$26*'Scrutin habituel'!E$3+Proposition!I$27*'Scrutin habituel'!E$4+Proposition!I$28*'Scrutin habituel'!E$5+Proposition!I$29*'Scrutin habituel'!E$6+Proposition!I$25*'Scrutin habituel'!E$2+Proposition!I$31*'Scrutin habituel'!E$8+Proposition!I$32*'Scrutin habituel'!E$9+Proposition!I$33*'Scrutin habituel'!E$10+Proposition!I$34*'Scrutin habituel'!E$11+Proposition!I$35*'Scrutin habituel'!E$12+Proposition!I$36*'Scrutin habituel'!E$13</f>
        <v>3431460.3502361393</v>
      </c>
      <c r="E11" s="21">
        <f ca="1">I$42*'Scrutin habituel'!E$2+I$43*'Scrutin habituel'!E$3+I$44*'Scrutin habituel'!E$4+I$45*'Scrutin habituel'!E$5+I$46*'Scrutin habituel'!E$6+I$48*'Scrutin habituel'!E$8+I$49*'Scrutin habituel'!E$9+I$50*'Scrutin habituel'!E$10+I$51*'Scrutin habituel'!E$11+I$52*'Scrutin habituel'!E$12+I$53*'Scrutin habituel'!E$13+'Scrutin habituel'!E15*I54+'Scrutin habituel'!E16*I55</f>
        <v>5273151.1289088614</v>
      </c>
      <c r="F11" s="39">
        <f ca="1">C11/SUM(C$6:C$17)-'Scrutin habituel'!E7/SUM('Scrutin habituel'!E$2:E$13)</f>
        <v>-1.6914611623121231E-2</v>
      </c>
      <c r="G11" s="36">
        <f>'Scrutin habituel'!E7/SUM('Scrutin habituel'!E$2:E$13)</f>
        <v>7.0737760769115102E-2</v>
      </c>
      <c r="H11" s="37">
        <f t="shared" ca="1" si="1"/>
        <v>5.382314914599387E-2</v>
      </c>
      <c r="T11" s="171"/>
      <c r="U11" s="56">
        <v>58.896475000000002</v>
      </c>
      <c r="V11" s="53" t="s">
        <v>52</v>
      </c>
      <c r="W11" s="150">
        <v>0.48</v>
      </c>
      <c r="X11" s="159"/>
      <c r="Y11" s="161">
        <f>W10-W11</f>
        <v>4.0000000000000036E-2</v>
      </c>
    </row>
    <row r="12" spans="1:25" x14ac:dyDescent="0.25">
      <c r="A12" s="132">
        <v>3</v>
      </c>
      <c r="B12" s="19" t="s">
        <v>22</v>
      </c>
      <c r="C12" s="13">
        <f t="shared" ca="1" si="0"/>
        <v>83.878301261176958</v>
      </c>
      <c r="D12" s="20">
        <f>'Scrutin habituel'!E8+J$26*'Scrutin habituel'!E$3+Proposition!J$27*'Scrutin habituel'!E$4+Proposition!J$28*'Scrutin habituel'!E$5+Proposition!J$29*'Scrutin habituel'!E$6+Proposition!J$30*'Scrutin habituel'!E$7+Proposition!J$25*'Scrutin habituel'!E$2+Proposition!J$32*'Scrutin habituel'!E$9+Proposition!J$33*'Scrutin habituel'!E$10+Proposition!J$34*'Scrutin habituel'!E$11+Proposition!J$35*'Scrutin habituel'!E$12+Proposition!J$36*'Scrutin habituel'!E$13</f>
        <v>9062250.2534019873</v>
      </c>
      <c r="E12" s="21">
        <f ca="1">J$42*'Scrutin habituel'!E$2+J$43*'Scrutin habituel'!E$3+J$44*'Scrutin habituel'!E$4+J$45*'Scrutin habituel'!E$5+J$46*'Scrutin habituel'!E$6+J$47*'Scrutin habituel'!E$7+J$49*'Scrutin habituel'!E$9+J$50*'Scrutin habituel'!E$10+J$51*'Scrutin habituel'!E$11+J$52*'Scrutin habituel'!E$12+J$53*'Scrutin habituel'!E$13+'Scrutin habituel'!E15*J54+'Scrutin habituel'!E16*J55</f>
        <v>4046520.7637057528</v>
      </c>
      <c r="F12" s="39">
        <f ca="1">C12/SUM(C$6:C$17)-'Scrutin habituel'!E8/SUM('Scrutin habituel'!E$2:E$13)</f>
        <v>-4.2661398774972603E-2</v>
      </c>
      <c r="G12" s="36">
        <f>'Scrutin habituel'!E8/SUM('Scrutin habituel'!E$2:E$13)</f>
        <v>0.21952385605454619</v>
      </c>
      <c r="H12" s="37">
        <f t="shared" ca="1" si="1"/>
        <v>0.17686245727957359</v>
      </c>
      <c r="T12" s="172">
        <v>2017</v>
      </c>
      <c r="U12" s="59">
        <v>71.763540000000006</v>
      </c>
      <c r="V12" s="58" t="s">
        <v>55</v>
      </c>
      <c r="W12" s="154">
        <v>0.66</v>
      </c>
      <c r="X12" s="166" t="s">
        <v>190</v>
      </c>
      <c r="Y12" s="167">
        <f>U12-U13</f>
        <v>55.412540000000007</v>
      </c>
    </row>
    <row r="13" spans="1:25" x14ac:dyDescent="0.25">
      <c r="A13" s="132">
        <v>10</v>
      </c>
      <c r="B13" s="19" t="s">
        <v>23</v>
      </c>
      <c r="C13" s="13">
        <f t="shared" ca="1" si="0"/>
        <v>12.82119473329251</v>
      </c>
      <c r="D13" s="20">
        <f>'Scrutin habituel'!E9+K$26*'Scrutin habituel'!E$3+Proposition!K$27*'Scrutin habituel'!E$4+K$28*'Scrutin habituel'!E$5+K$29*'Scrutin habituel'!E$6+K$30*'Scrutin habituel'!E$7+K$31*'Scrutin habituel'!E$8+K$25*'Scrutin habituel'!E$2+K$33*'Scrutin habituel'!E$10+K$34*'Scrutin habituel'!E$11+K$35*'Scrutin habituel'!E$12+K$36*'Scrutin habituel'!E$13</f>
        <v>1872459.135742381</v>
      </c>
      <c r="E13" s="21">
        <f ca="1">K$42*'Scrutin habituel'!E$2+K$43*'Scrutin habituel'!E$3+K$44*'Scrutin habituel'!E$4+K$45*'Scrutin habituel'!E$5+K$46*'Scrutin habituel'!E$6+K$47*'Scrutin habituel'!E$7+K$48*'Scrutin habituel'!E$8+K$50*'Scrutin habituel'!E$10+K$51*'Scrutin habituel'!E$11+K$52*'Scrutin habituel'!E$12+K$53*'Scrutin habituel'!E$13+'Scrutin habituel'!E15*K54+'Scrutin habituel'!E16*K55</f>
        <v>3542037.9744787803</v>
      </c>
      <c r="F13" s="39">
        <f ca="1">C13/SUM(C$6:C$17)-'Scrutin habituel'!E9/SUM('Scrutin habituel'!E$2:E$13)</f>
        <v>9.487257303286388E-3</v>
      </c>
      <c r="G13" s="36">
        <f>'Scrutin habituel'!E9/SUM('Scrutin habituel'!E$2:E$13)</f>
        <v>1.7547005094676514E-2</v>
      </c>
      <c r="H13" s="37">
        <f t="shared" ca="1" si="1"/>
        <v>2.7034262397962902E-2</v>
      </c>
      <c r="T13" s="171"/>
      <c r="U13" s="56">
        <v>16.350999999999999</v>
      </c>
      <c r="V13" s="53" t="s">
        <v>56</v>
      </c>
      <c r="W13" s="150">
        <v>0.34</v>
      </c>
      <c r="X13" s="168"/>
      <c r="Y13" s="169">
        <f>W12-W13</f>
        <v>0.32</v>
      </c>
    </row>
    <row r="14" spans="1:25" x14ac:dyDescent="0.25">
      <c r="A14" s="132">
        <v>5</v>
      </c>
      <c r="B14" s="19" t="s">
        <v>24</v>
      </c>
      <c r="C14" s="13">
        <f t="shared" ca="1" si="0"/>
        <v>34.569556460188714</v>
      </c>
      <c r="D14" s="20">
        <f>'Scrutin habituel'!E10+L$26*'Scrutin habituel'!E$3+L$27*'Scrutin habituel'!E$4+L$28*'Scrutin habituel'!E$5+L$29*'Scrutin habituel'!E$6+L$30*'Scrutin habituel'!E$7+L$31*'Scrutin habituel'!E$8+L$32*'Scrutin habituel'!E$9+L$25*'Scrutin habituel'!E$2+L$34*'Scrutin habituel'!E$11+L$35*'Scrutin habituel'!E$12+L$36*'Scrutin habituel'!E$13</f>
        <v>3749933.0788829164</v>
      </c>
      <c r="E14" s="21">
        <f ca="1">L$42*'Scrutin habituel'!E$2+L$43*'Scrutin habituel'!E$3+L$44*'Scrutin habituel'!E$4+L$45*'Scrutin habituel'!E$5+L$46*'Scrutin habituel'!E$6+L$47*'Scrutin habituel'!E$7+L$48*'Scrutin habituel'!E$8+L$49*'Scrutin habituel'!E$9+L$51*'Scrutin habituel'!E$11+L$52*'Scrutin habituel'!E$12+L$53*'Scrutin habituel'!E$13+'Scrutin habituel'!E15*L54+'Scrutin habituel'!E16*L55</f>
        <v>1757864.5971842685</v>
      </c>
      <c r="F14" s="39">
        <f ca="1">C14/SUM(C$6:C$17)-'Scrutin habituel'!E10/SUM('Scrutin habituel'!E$2:E$13)</f>
        <v>2.6557908489559391E-2</v>
      </c>
      <c r="G14" s="36">
        <f>'Scrutin habituel'!E10/SUM('Scrutin habituel'!E$2:E$13)</f>
        <v>4.633408634920378E-2</v>
      </c>
      <c r="H14" s="37">
        <f t="shared" ca="1" si="1"/>
        <v>7.2891994838763172E-2</v>
      </c>
      <c r="T14" s="170">
        <v>2022</v>
      </c>
      <c r="U14" s="148">
        <f>'Scrutin habituel'!N2/C5</f>
        <v>72.010919999999999</v>
      </c>
      <c r="V14" s="58" t="s">
        <v>55</v>
      </c>
      <c r="W14" s="154">
        <v>0.59</v>
      </c>
      <c r="X14" s="159" t="s">
        <v>190</v>
      </c>
      <c r="Y14" s="160">
        <f>U14-U15</f>
        <v>35.655555</v>
      </c>
    </row>
    <row r="15" spans="1:25" x14ac:dyDescent="0.25">
      <c r="A15" s="132">
        <v>4</v>
      </c>
      <c r="B15" s="19" t="s">
        <v>25</v>
      </c>
      <c r="C15" s="13">
        <f t="shared" ca="1" si="0"/>
        <v>37.893699432426253</v>
      </c>
      <c r="D15" s="20">
        <f>'Scrutin habituel'!E11+M$26*'Scrutin habituel'!E$3+M$27*'Scrutin habituel'!E$4+M$28*'Scrutin habituel'!E$5+M$29*'Scrutin habituel'!E$6+M$30*'Scrutin habituel'!E$7+M$31*'Scrutin habituel'!E$8+M$32*'Scrutin habituel'!E$9+M$33*'Scrutin habituel'!E$10+M$25*'Scrutin habituel'!E$2+M$35*'Scrutin habituel'!E$12+M$36*'Scrutin habituel'!E$13</f>
        <v>4074287.277042543</v>
      </c>
      <c r="E15" s="21">
        <f ca="1">M$42*'Scrutin habituel'!E$2+M$43*'Scrutin habituel'!E$3+M$44*'Scrutin habituel'!E$4+M$45*'Scrutin habituel'!E$5+M$46*'Scrutin habituel'!E$6+M$47*'Scrutin habituel'!E$7+M$48*'Scrutin habituel'!E$8+M$49*'Scrutin habituel'!E$9+M$50*'Scrutin habituel'!E$10+M$52*'Scrutin habituel'!E$12+M$53*'Scrutin habituel'!E$13+'Scrutin habituel'!E15*M54+'Scrutin habituel'!E16*M55</f>
        <v>1709504.0027995063</v>
      </c>
      <c r="F15" s="39">
        <f ca="1">C15/SUM(C$6:C$17)-'Scrutin habituel'!E11/SUM('Scrutin habituel'!E$2:E$13)</f>
        <v>3.2111223004573752E-2</v>
      </c>
      <c r="G15" s="36">
        <f>'Scrutin habituel'!E11/SUM('Scrutin habituel'!E$2:E$13)</f>
        <v>4.7789927784879532E-2</v>
      </c>
      <c r="H15" s="37">
        <f t="shared" ca="1" si="1"/>
        <v>7.9901150789453285E-2</v>
      </c>
      <c r="T15" s="170"/>
      <c r="U15" s="147">
        <f>'Scrutin habituel'!N3/C5</f>
        <v>36.355364999999999</v>
      </c>
      <c r="V15" t="s">
        <v>56</v>
      </c>
      <c r="W15" s="150">
        <v>0.41</v>
      </c>
      <c r="X15" s="159"/>
      <c r="Y15" s="161">
        <f>W14-W15</f>
        <v>0.18</v>
      </c>
    </row>
    <row r="16" spans="1:25" x14ac:dyDescent="0.25">
      <c r="A16" s="132">
        <v>11</v>
      </c>
      <c r="B16" s="19" t="s">
        <v>26</v>
      </c>
      <c r="C16" s="13">
        <f t="shared" ca="1" si="0"/>
        <v>8.8875566279867435</v>
      </c>
      <c r="D16" s="20">
        <f>'Scrutin habituel'!E12+N$26*'Scrutin habituel'!E$3+N$27*'Scrutin habituel'!E$4+N$28*'Scrutin habituel'!E$5+N$29*'Scrutin habituel'!E$6+N$30*'Scrutin habituel'!E$7+N$31*'Scrutin habituel'!E$8+N$32*'Scrutin habituel'!E$9+N$33*'Scrutin habituel'!E$10+N$34*'Scrutin habituel'!E$11+N$25*'Scrutin habituel'!E$2+N$36*'Scrutin habituel'!E$13</f>
        <v>1575129.6360945194</v>
      </c>
      <c r="E16" s="21">
        <f ca="1">N$42*'Scrutin habituel'!E$2+N$43*'Scrutin habituel'!E$3+N$44*'Scrutin habituel'!E$4+N$45*'Scrutin habituel'!E$5+N$46*'Scrutin habituel'!E$6+N$47*'Scrutin habituel'!E$7+N$48*'Scrutin habituel'!E$8+N$49*'Scrutin habituel'!E$9+N$50*'Scrutin habituel'!E$10+N$51*'Scrutin habituel'!E$11+N$53*'Scrutin habituel'!E$13+'Scrutin habituel'!E15*N54+'Scrutin habituel'!E16*N55</f>
        <v>4118243.8397750701</v>
      </c>
      <c r="F16" s="39">
        <f ca="1">C16/SUM(C$6:C$17)-'Scrutin habituel'!E12/SUM('Scrutin habituel'!E$2:E$13)</f>
        <v>1.1086050992279198E-2</v>
      </c>
      <c r="G16" s="135">
        <f>'Scrutin habituel'!E12/SUM('Scrutin habituel'!E$2:E$13)</f>
        <v>7.6538982055789403E-3</v>
      </c>
      <c r="H16" s="136">
        <f t="shared" ca="1" si="1"/>
        <v>1.8739949197858138E-2</v>
      </c>
    </row>
    <row r="17" spans="1:51" ht="15.75" thickBot="1" x14ac:dyDescent="0.3">
      <c r="A17" s="132">
        <v>7</v>
      </c>
      <c r="B17" s="22" t="s">
        <v>27</v>
      </c>
      <c r="C17" s="14">
        <f t="shared" ca="1" si="0"/>
        <v>28.442873801763572</v>
      </c>
      <c r="D17" s="23">
        <f>'Scrutin habituel'!E13+O$26*'Scrutin habituel'!E$3+O$27*'Scrutin habituel'!E$4+O$28*'Scrutin habituel'!E$5+O$29*'Scrutin habituel'!E$6+O$30*'Scrutin habituel'!E$7+O$31*'Scrutin habituel'!E$8+O$32*'Scrutin habituel'!E$9+O$33*'Scrutin habituel'!E$10+O$34*'Scrutin habituel'!E$11+O$35*'Scrutin habituel'!E$12+O$25*'Scrutin habituel'!E$2</f>
        <v>3149063.6740237754</v>
      </c>
      <c r="E17" s="24">
        <f ca="1">O$42*'Scrutin habituel'!E$2+O$43*'Scrutin habituel'!E$3+O$44*'Scrutin habituel'!E$4+O$45*'Scrutin habituel'!E$5+O$46*'Scrutin habituel'!E$6+O$47*'Scrutin habituel'!E$7+O$48*'Scrutin habituel'!E$8+O$49*'Scrutin habituel'!E$9+O$50*'Scrutin habituel'!E$10+O$51*'Scrutin habituel'!E$11+O$52*'Scrutin habituel'!E$12+'Scrutin habituel'!E15*O54+'Scrutin habituel'!E16*O55</f>
        <v>1828657.7630845096</v>
      </c>
      <c r="F17" s="39">
        <f ca="1">C17/SUM(C$6:C$17)-'Scrutin habituel'!E13/SUM('Scrutin habituel'!E$2:E$13)</f>
        <v>3.9332604842582747E-2</v>
      </c>
      <c r="G17" s="36">
        <f>'Scrutin habituel'!E13/SUM('Scrutin habituel'!E$2:E$13)</f>
        <v>2.0640910083631756E-2</v>
      </c>
      <c r="H17" s="37">
        <f t="shared" ca="1" si="1"/>
        <v>5.99735149262145E-2</v>
      </c>
    </row>
    <row r="18" spans="1:51" x14ac:dyDescent="0.25">
      <c r="B18" s="19" t="s">
        <v>41</v>
      </c>
      <c r="D18" s="29" t="s">
        <v>40</v>
      </c>
      <c r="E18" s="44">
        <f>-SUM(D54:O54)*'Scrutin habituel'!E15/B$5/100000</f>
        <v>-0.89619466666666669</v>
      </c>
      <c r="F18" s="40">
        <f ca="1">H18-G18</f>
        <v>3.4436013248855361E-2</v>
      </c>
      <c r="G18" s="36">
        <f>'Scrutin habituel'!F15</f>
        <v>2.2012204920834035E-2</v>
      </c>
      <c r="H18" s="49">
        <f ca="1">SUM(A54*'Scrutin habituel'!E15,C55*'Scrutin habituel'!E16,C54*'Scrutin habituel'!E15,C53*'Scrutin habituel'!E13,C52*'Scrutin habituel'!E12,C51*'Scrutin habituel'!E11,C50*'Scrutin habituel'!E10,C49*'Scrutin habituel'!E9,C48*'Scrutin habituel'!E8,C47*'Scrutin habituel'!E7,C46*'Scrutin habituel'!E6,C45*'Scrutin habituel'!E5,C44*'Scrutin habituel'!E4,C43*'Scrutin habituel'!E3,C42*'Scrutin habituel'!E2)/SUM('Scrutin habituel'!E$2:E$15,(1-A$55)/'Scrutin habituel'!E$16)</f>
        <v>5.6448218169689396E-2</v>
      </c>
      <c r="I18" s="50" t="s">
        <v>180</v>
      </c>
      <c r="J18" s="51"/>
      <c r="K18" s="50"/>
      <c r="L18" s="50"/>
      <c r="M18" s="50"/>
      <c r="N18" s="50"/>
      <c r="O18" s="50"/>
      <c r="P18" s="50"/>
      <c r="Q18" s="50"/>
      <c r="R18" s="52"/>
    </row>
    <row r="19" spans="1:51" x14ac:dyDescent="0.25">
      <c r="B19" s="19" t="s">
        <v>15</v>
      </c>
      <c r="D19" s="30" t="s">
        <v>40</v>
      </c>
      <c r="E19" s="44">
        <f>-SUM(D55:O55)*'Scrutin habituel'!E16/B$5/100000</f>
        <v>-8.5494460000000014</v>
      </c>
      <c r="F19" s="41">
        <f>H19-G19</f>
        <v>-0.13153566936947161</v>
      </c>
      <c r="G19" s="42">
        <f>'Scrutin habituel'!F16</f>
        <v>0.26307133873894323</v>
      </c>
      <c r="H19" s="38">
        <f>A55*'Scrutin habituel'!E16/SUM('Scrutin habituel'!E$2:E$16)</f>
        <v>0.13153566936947161</v>
      </c>
      <c r="I19" t="s">
        <v>192</v>
      </c>
      <c r="J19" s="43"/>
    </row>
    <row r="21" spans="1:51" ht="15.75" thickBot="1" x14ac:dyDescent="0.3"/>
    <row r="22" spans="1:51" ht="15.75" thickBot="1" x14ac:dyDescent="0.3">
      <c r="R22" s="111" t="s">
        <v>169</v>
      </c>
    </row>
    <row r="23" spans="1:51" x14ac:dyDescent="0.25">
      <c r="A23" s="6"/>
      <c r="B23" s="7" t="s">
        <v>179</v>
      </c>
      <c r="C23" s="6"/>
      <c r="D23" s="6"/>
      <c r="E23" s="6"/>
      <c r="F23" s="6"/>
      <c r="G23" s="6"/>
      <c r="H23" s="6"/>
      <c r="I23" s="6"/>
      <c r="J23" s="6"/>
      <c r="K23" s="6"/>
      <c r="L23" s="6"/>
      <c r="M23" s="6"/>
      <c r="N23" s="6"/>
      <c r="O23" s="6"/>
      <c r="P23" s="6"/>
      <c r="W23" s="99"/>
      <c r="X23" s="143" t="s">
        <v>33</v>
      </c>
      <c r="Y23" s="99"/>
      <c r="Z23" s="99"/>
      <c r="AA23" s="99"/>
      <c r="AB23" s="99"/>
      <c r="AC23" s="99"/>
      <c r="AD23" s="99"/>
      <c r="AE23" s="99"/>
      <c r="AF23" s="99"/>
      <c r="AG23" s="99"/>
      <c r="AH23" s="99"/>
      <c r="AI23" s="99"/>
      <c r="AJ23" s="99"/>
      <c r="AK23" s="99"/>
      <c r="AL23" s="99"/>
    </row>
    <row r="24" spans="1:51" x14ac:dyDescent="0.25">
      <c r="A24" s="6"/>
      <c r="B24" s="6"/>
      <c r="C24" s="3" t="s">
        <v>30</v>
      </c>
      <c r="D24" s="3" t="s">
        <v>16</v>
      </c>
      <c r="E24" s="3" t="s">
        <v>17</v>
      </c>
      <c r="F24" s="3" t="s">
        <v>18</v>
      </c>
      <c r="G24" s="3" t="s">
        <v>19</v>
      </c>
      <c r="H24" s="3" t="s">
        <v>20</v>
      </c>
      <c r="I24" s="3" t="s">
        <v>21</v>
      </c>
      <c r="J24" s="3" t="s">
        <v>22</v>
      </c>
      <c r="K24" s="3" t="s">
        <v>23</v>
      </c>
      <c r="L24" s="3" t="s">
        <v>24</v>
      </c>
      <c r="M24" s="3" t="s">
        <v>25</v>
      </c>
      <c r="N24" s="3" t="s">
        <v>26</v>
      </c>
      <c r="O24" s="3" t="s">
        <v>27</v>
      </c>
      <c r="P24" s="6"/>
      <c r="R24" t="s">
        <v>162</v>
      </c>
      <c r="S24" s="76">
        <v>2</v>
      </c>
      <c r="T24" s="77">
        <v>-1</v>
      </c>
      <c r="W24" s="99"/>
      <c r="X24" s="99"/>
      <c r="Y24" s="99" t="s">
        <v>16</v>
      </c>
      <c r="Z24" s="99" t="s">
        <v>17</v>
      </c>
      <c r="AA24" s="99" t="s">
        <v>18</v>
      </c>
      <c r="AB24" s="99" t="s">
        <v>19</v>
      </c>
      <c r="AC24" s="99" t="s">
        <v>20</v>
      </c>
      <c r="AD24" s="99" t="s">
        <v>21</v>
      </c>
      <c r="AE24" s="99" t="s">
        <v>22</v>
      </c>
      <c r="AF24" s="99" t="s">
        <v>23</v>
      </c>
      <c r="AG24" s="99" t="s">
        <v>24</v>
      </c>
      <c r="AH24" s="99" t="s">
        <v>25</v>
      </c>
      <c r="AI24" s="99" t="s">
        <v>26</v>
      </c>
      <c r="AJ24" s="99" t="s">
        <v>27</v>
      </c>
      <c r="AK24" s="99"/>
      <c r="AL24" s="99"/>
      <c r="AM24" s="122"/>
      <c r="AN24" s="1"/>
      <c r="AO24" s="1"/>
      <c r="AP24" s="1"/>
      <c r="AQ24" s="1"/>
      <c r="AR24" s="1"/>
      <c r="AS24" s="1"/>
      <c r="AT24" s="1"/>
      <c r="AU24" s="1"/>
      <c r="AV24" s="1"/>
      <c r="AW24" s="1"/>
      <c r="AX24" s="1"/>
      <c r="AY24" s="1"/>
    </row>
    <row r="25" spans="1:51" x14ac:dyDescent="0.25">
      <c r="A25" s="6"/>
      <c r="B25" s="2" t="s">
        <v>16</v>
      </c>
      <c r="C25" s="4">
        <v>0.01</v>
      </c>
      <c r="D25" s="5"/>
      <c r="E25" s="4">
        <f t="shared" ref="E25:O25" si="2">(Z25-MIN($Y25:$AJ25))/$AL25</f>
        <v>0.12913043478260869</v>
      </c>
      <c r="F25" s="4">
        <f t="shared" si="2"/>
        <v>7.1739130434782597E-2</v>
      </c>
      <c r="G25" s="4">
        <f t="shared" si="2"/>
        <v>8.608695652173913E-2</v>
      </c>
      <c r="H25" s="4">
        <f t="shared" si="2"/>
        <v>0</v>
      </c>
      <c r="I25" s="4">
        <f t="shared" si="2"/>
        <v>0</v>
      </c>
      <c r="J25" s="4">
        <f t="shared" si="2"/>
        <v>0.12913043478260869</v>
      </c>
      <c r="K25" s="4">
        <f t="shared" si="2"/>
        <v>0.12913043478260869</v>
      </c>
      <c r="L25" s="4">
        <f t="shared" si="2"/>
        <v>0.12913043478260869</v>
      </c>
      <c r="M25" s="4">
        <f t="shared" si="2"/>
        <v>7.1739130434782597E-2</v>
      </c>
      <c r="N25" s="4">
        <f t="shared" si="2"/>
        <v>0.17217391304347826</v>
      </c>
      <c r="O25" s="4">
        <f t="shared" si="2"/>
        <v>7.1739130434782597E-2</v>
      </c>
      <c r="P25" s="6"/>
      <c r="R25" t="s">
        <v>137</v>
      </c>
      <c r="S25" s="76">
        <v>1</v>
      </c>
      <c r="T25" s="77">
        <v>-1</v>
      </c>
      <c r="W25" s="144">
        <v>12</v>
      </c>
      <c r="X25" s="99" t="s">
        <v>16</v>
      </c>
      <c r="Y25" s="142"/>
      <c r="Z25" s="85">
        <f>S$24*$E$63+S$27+S$28+S$31</f>
        <v>1</v>
      </c>
      <c r="AA25" s="85">
        <f>S$24*$F$63+S$27+S$29+S$31+S$39+S$42+S$43</f>
        <v>-3</v>
      </c>
      <c r="AB25" s="85">
        <f>S$24*$G$63+S$27+S$29+S$31</f>
        <v>-2</v>
      </c>
      <c r="AC25" s="85">
        <f>S$24*$H$63+S$26+S$27+S$29+S$31+S$33+S$36</f>
        <v>-8</v>
      </c>
      <c r="AD25" s="85">
        <f>S$24*$I$63+S$26+S$27+S$29+S$31+S$33+S$36+S$37+S$41</f>
        <v>-8</v>
      </c>
      <c r="AE25" s="85">
        <f>S$24*$J$63+S$27+S$28+S$31</f>
        <v>1</v>
      </c>
      <c r="AF25" s="85">
        <f>S$24*$K$63+S$27+S$28+S$31</f>
        <v>1</v>
      </c>
      <c r="AG25" s="85">
        <f>S$24*$L$63+S$27+S$28+S$31</f>
        <v>1</v>
      </c>
      <c r="AH25" s="85">
        <f>S$24*$M$63+S$27+S$29+S$31+S$41</f>
        <v>-3</v>
      </c>
      <c r="AI25" s="85">
        <f>S$24*$N$63+S$25+S$27+S$28+S$30+S$36</f>
        <v>4</v>
      </c>
      <c r="AJ25" s="85">
        <f>S$24*$O$63+S$27+S$29+S$31+S$41</f>
        <v>-3</v>
      </c>
      <c r="AK25" s="99"/>
      <c r="AL25" s="99">
        <f>SUM(Z25-MIN(Y25:AJ25),AA25-MIN(Y25:AJ25),AB25-MIN(Y25:AJ25),AC25-MIN(Y25:AJ25),AD25-MIN(Y25:AJ25),AE25-MIN(Y25:AJ25),AF25-MIN(Y25:AJ25),AG25-MIN(Y25:AJ25),AH25-MIN(Y25:AJ25),AI25-MIN(Y25:AJ25),AJ25-MIN(Y25:AJ25))+(C25*SUM(Z25-MIN(Y25:AJ25),AA25-MIN(Y25:AJ25),AB25-MIN(Y25:AJ25),AC25-MIN(Y25:AJ25),AD25-MIN(Y25:AJ25),AE25-MIN(Y25:AJ25),AF25-MIN(Y25:AJ25),AG25-MIN(Y25:AJ25),AH25-MIN(Y25:AJ25),AI25-MIN(Y25:AJ25),AJ25-MIN(Y25:AJ25)))/(1-C25)</f>
        <v>69.696969696969703</v>
      </c>
      <c r="AN25" s="28"/>
      <c r="AO25" s="28"/>
      <c r="AP25" s="28"/>
      <c r="AQ25" s="28"/>
      <c r="AR25" s="28"/>
      <c r="AS25" s="28"/>
      <c r="AT25" s="28"/>
      <c r="AU25" s="28"/>
      <c r="AV25" s="28"/>
      <c r="AW25" s="28"/>
      <c r="AX25" s="28"/>
      <c r="AY25" s="28"/>
    </row>
    <row r="26" spans="1:51" x14ac:dyDescent="0.25">
      <c r="A26" s="6"/>
      <c r="B26" s="2" t="s">
        <v>17</v>
      </c>
      <c r="C26" s="4">
        <v>0.08</v>
      </c>
      <c r="D26" s="4">
        <f t="shared" ref="D26:D36" si="3">(Y26-MIN($Y26:$AJ26))/$AL26</f>
        <v>0</v>
      </c>
      <c r="E26" s="5"/>
      <c r="F26" s="4">
        <f t="shared" ref="F26:O26" si="4">(AA26-MIN($Y26:$AJ26))/$AL26</f>
        <v>4.7179487179487181E-2</v>
      </c>
      <c r="G26" s="4">
        <f t="shared" si="4"/>
        <v>8.2564102564102571E-2</v>
      </c>
      <c r="H26" s="4">
        <f t="shared" si="4"/>
        <v>5.8974358974358973E-2</v>
      </c>
      <c r="I26" s="4">
        <f t="shared" si="4"/>
        <v>0</v>
      </c>
      <c r="J26" s="4">
        <f>(AE26-MIN($Y26:$AJ26))/$AL26</f>
        <v>0.18871794871794872</v>
      </c>
      <c r="K26" s="4">
        <f t="shared" si="4"/>
        <v>8.2564102564102571E-2</v>
      </c>
      <c r="L26" s="4">
        <f t="shared" si="4"/>
        <v>0.16512820512820514</v>
      </c>
      <c r="M26" s="4">
        <f t="shared" si="4"/>
        <v>7.0769230769230765E-2</v>
      </c>
      <c r="N26" s="4">
        <f t="shared" si="4"/>
        <v>0.17692307692307693</v>
      </c>
      <c r="O26" s="4">
        <f t="shared" si="4"/>
        <v>4.7179487179487181E-2</v>
      </c>
      <c r="P26" s="6"/>
      <c r="R26" t="s">
        <v>163</v>
      </c>
      <c r="S26" s="76">
        <v>-2</v>
      </c>
      <c r="T26" s="77">
        <v>2</v>
      </c>
      <c r="W26" s="144">
        <v>8</v>
      </c>
      <c r="X26" s="99" t="s">
        <v>17</v>
      </c>
      <c r="Y26" s="85">
        <f>S$24*$D$64+S$27+S$28+S$31+S$34</f>
        <v>0</v>
      </c>
      <c r="Z26" s="142"/>
      <c r="AA26" s="85">
        <f>S$24*$F$64+S$26+S$29+S$31+S$39+S$42+S$43</f>
        <v>4</v>
      </c>
      <c r="AB26" s="85">
        <f>S$24*$G$64+S$29+S$31</f>
        <v>7</v>
      </c>
      <c r="AC26" s="85">
        <f>S$24*$H$64+S$29+S$31+S$35</f>
        <v>5</v>
      </c>
      <c r="AD26" s="85">
        <f>S$24*$I$64+S$27+S$29+S$31+S$37+S$41</f>
        <v>0</v>
      </c>
      <c r="AE26" s="85">
        <f>S$24*$J$64+S$28+S$30</f>
        <v>16</v>
      </c>
      <c r="AF26" s="85">
        <f>S$24*$K$64+S$25+S$26+S$28+S$31</f>
        <v>7</v>
      </c>
      <c r="AG26" s="85">
        <f>S$24*$L$64+S$28+S$31</f>
        <v>14</v>
      </c>
      <c r="AH26" s="85">
        <f>S$24*$M$64+S$29+S$31+S$41</f>
        <v>6</v>
      </c>
      <c r="AI26" s="85">
        <f>S$24*$N$64+S$28+S$31+S$34</f>
        <v>15</v>
      </c>
      <c r="AJ26" s="85">
        <f>S$24*$O$64+S$29+S$31+S$41</f>
        <v>4</v>
      </c>
      <c r="AK26" s="99"/>
      <c r="AL26" s="99">
        <f>SUM(Y26-MIN(Y26:AJ26),AA26-MIN(Y26:AJ26),AB26-MIN(Y26:AJ26),AC26-MIN(Y26:AJ26),AD26-MIN(Y26:AJ26),AE26-MIN(Y26:AJ26),AF26-MIN(Y26:AJ26),AG26-MIN(Y26:AJ26),AH26-MIN(Y26:AJ26),AI26-MIN(Y26:AJ26),AJ26-MIN(Y26:AJ26))+(C26*SUM(Y26-MIN(Y26:AJ26),AA26-MIN(Y26:AJ26),AB26-MIN(Y26:AJ26),AC26-MIN(Y26:AJ26),AD26-MIN(Y26:AJ26),AE26-MIN(Y26:AJ26),AF26-MIN(Y26:AJ26),AG26-MIN(Y26:AJ26),AH26-MIN(Y26:AJ26),AI26-MIN(Y26:AJ26),AJ26-MIN(Y26:AJ26)))/(1-C26)</f>
        <v>84.782608695652172</v>
      </c>
      <c r="AN26" s="28"/>
      <c r="AO26" s="28"/>
      <c r="AP26" s="28"/>
      <c r="AQ26" s="28"/>
      <c r="AR26" s="28"/>
      <c r="AS26" s="28"/>
      <c r="AT26" s="28"/>
      <c r="AU26" s="28"/>
      <c r="AV26" s="28"/>
      <c r="AW26" s="28"/>
      <c r="AX26" s="28"/>
      <c r="AY26" s="28"/>
    </row>
    <row r="27" spans="1:51" x14ac:dyDescent="0.25">
      <c r="A27" s="6"/>
      <c r="B27" s="2" t="s">
        <v>18</v>
      </c>
      <c r="C27" s="4">
        <v>0.55000000000000004</v>
      </c>
      <c r="D27" s="4">
        <f t="shared" si="3"/>
        <v>0</v>
      </c>
      <c r="E27" s="4">
        <f t="shared" ref="E27:E36" si="5">(Z27-MIN($Y27:$AJ27))/$AL27</f>
        <v>6.0447761194029843E-2</v>
      </c>
      <c r="F27" s="5"/>
      <c r="G27" s="4">
        <f t="shared" ref="G27:O27" si="6">(AB27-MIN($Y27:$AJ27))/$AL27</f>
        <v>4.7014925373134321E-2</v>
      </c>
      <c r="H27" s="4">
        <f t="shared" si="6"/>
        <v>4.7014925373134321E-2</v>
      </c>
      <c r="I27" s="4">
        <f t="shared" si="6"/>
        <v>4.7014925373134321E-2</v>
      </c>
      <c r="J27" s="4">
        <f t="shared" si="6"/>
        <v>2.014925373134328E-2</v>
      </c>
      <c r="K27" s="4">
        <f t="shared" si="6"/>
        <v>1.3432835820895521E-2</v>
      </c>
      <c r="L27" s="4">
        <f t="shared" si="6"/>
        <v>6.0447761194029843E-2</v>
      </c>
      <c r="M27" s="4">
        <f t="shared" si="6"/>
        <v>9.4029850746268642E-2</v>
      </c>
      <c r="N27" s="4">
        <f t="shared" si="6"/>
        <v>0</v>
      </c>
      <c r="O27" s="4">
        <f t="shared" si="6"/>
        <v>6.0447761194029843E-2</v>
      </c>
      <c r="P27" s="6"/>
      <c r="R27" t="s">
        <v>138</v>
      </c>
      <c r="S27" s="76">
        <v>-1</v>
      </c>
      <c r="T27" s="77">
        <v>1</v>
      </c>
      <c r="W27" s="144">
        <v>1</v>
      </c>
      <c r="X27" s="99" t="s">
        <v>18</v>
      </c>
      <c r="Y27" s="85">
        <f>S$24*$D$65+S$27+S$29+S$31+S$35</f>
        <v>-6</v>
      </c>
      <c r="Z27" s="85">
        <f>S$24*$E$65+S$26+S$29+S$31</f>
        <v>3</v>
      </c>
      <c r="AA27" s="142"/>
      <c r="AB27" s="85">
        <f>S$24*$G$65+S$27+S$28+S$31</f>
        <v>1</v>
      </c>
      <c r="AC27" s="85">
        <f>S$24*$H$65+S$26+S$28+S$31+S$34+S$38</f>
        <v>1</v>
      </c>
      <c r="AD27" s="85">
        <f>S$24*$I$65+S$26+S$29+S$31+S$37+S$38+S$41</f>
        <v>1</v>
      </c>
      <c r="AE27" s="85">
        <f>S$24*$J$65+S$26*2+S$29+S$31+S$38</f>
        <v>-3</v>
      </c>
      <c r="AF27" s="85">
        <f>S$24*$K$65+S$26+S$27+S$29+S$31</f>
        <v>-4</v>
      </c>
      <c r="AG27" s="85">
        <f>S$24*$L$65+S$29+S$31</f>
        <v>3</v>
      </c>
      <c r="AH27" s="85">
        <f>S$24*$M$65+S$31+S$41</f>
        <v>8</v>
      </c>
      <c r="AI27" s="85">
        <f>S$24*$N$65+S$26+S$27+S$29+S$31+S$35</f>
        <v>-6</v>
      </c>
      <c r="AJ27" s="85">
        <f>S$24*$O$65+S$26+S$28+S$31+S$41</f>
        <v>3</v>
      </c>
      <c r="AK27" s="99"/>
      <c r="AL27" s="99">
        <f>SUM(Y27-MIN(Y27:AJ27),Z27-MIN(Y27:AJ27),AB27-MIN(Y27:AJ27),AC27-MIN(Y27:AJ27),AD27-MIN(Y27:AJ27),AE27-MIN(Y27:AJ27),AF27-MIN(Y27:AJ27),AG27-MIN(Y27:AJ27),AH27-MIN(Y27:AJ27),AI27-MIN(Y27:AJ27),AJ27-MIN(Y27:AJ27))+(C27*SUM(Y27-MIN(Y27:AJ27),Z27-MIN(Y27:AJ27),AB27-MIN(Y27:AJ27),AC27-MIN(Y27:AJ27),AD27-MIN(Y27:AJ27),AE27-MIN(Y27:AJ27),AF27-MIN(Y27:AJ27),AG27-MIN(Y27:AJ27),AH27-MIN(Y27:AJ27),AI27-MIN(Y27:AJ27),AJ27-MIN(Y27:AJ27)))/(1-C27)</f>
        <v>148.88888888888891</v>
      </c>
      <c r="AN27" s="28"/>
      <c r="AO27" s="28"/>
      <c r="AP27" s="28"/>
      <c r="AQ27" s="28"/>
      <c r="AR27" s="28"/>
      <c r="AS27" s="28"/>
      <c r="AT27" s="28"/>
      <c r="AU27" s="28"/>
      <c r="AV27" s="28"/>
      <c r="AW27" s="28"/>
      <c r="AX27" s="28"/>
      <c r="AY27" s="28"/>
    </row>
    <row r="28" spans="1:51" x14ac:dyDescent="0.25">
      <c r="A28" s="6"/>
      <c r="B28" s="2" t="s">
        <v>19</v>
      </c>
      <c r="C28" s="4">
        <v>0.13</v>
      </c>
      <c r="D28" s="4">
        <f t="shared" si="3"/>
        <v>0</v>
      </c>
      <c r="E28" s="4">
        <f t="shared" si="5"/>
        <v>9.7653061224489801E-2</v>
      </c>
      <c r="F28" s="4">
        <f t="shared" ref="F28:F36" si="7">(AA28-MIN($Y28:$AJ28))/$AL28</f>
        <v>5.326530612244898E-2</v>
      </c>
      <c r="G28" s="5"/>
      <c r="H28" s="4">
        <f t="shared" ref="H28:O28" si="8">(AC28-MIN($Y28:$AJ28))/$AL28</f>
        <v>0.13316326530612246</v>
      </c>
      <c r="I28" s="4">
        <f t="shared" si="8"/>
        <v>1.7755102040816328E-2</v>
      </c>
      <c r="J28" s="4">
        <f t="shared" si="8"/>
        <v>7.989795918367347E-2</v>
      </c>
      <c r="K28" s="4">
        <f t="shared" si="8"/>
        <v>9.7653061224489801E-2</v>
      </c>
      <c r="L28" s="4">
        <f t="shared" si="8"/>
        <v>7.989795918367347E-2</v>
      </c>
      <c r="M28" s="4">
        <f t="shared" si="8"/>
        <v>7.989795918367347E-2</v>
      </c>
      <c r="N28" s="4">
        <f t="shared" si="8"/>
        <v>6.2142857142857146E-2</v>
      </c>
      <c r="O28" s="4">
        <f t="shared" si="8"/>
        <v>0.1686734693877551</v>
      </c>
      <c r="P28" s="6"/>
      <c r="R28" t="s">
        <v>139</v>
      </c>
      <c r="S28" s="76">
        <v>1</v>
      </c>
      <c r="T28" s="77">
        <v>-1</v>
      </c>
      <c r="W28" s="144">
        <v>7</v>
      </c>
      <c r="X28" s="99" t="s">
        <v>19</v>
      </c>
      <c r="Y28" s="85">
        <f>S$24*$D$66+S$27+S$29+S$31+S$35</f>
        <v>-4</v>
      </c>
      <c r="Z28" s="85">
        <f>S$24*$E$66+S$29+S$31</f>
        <v>7</v>
      </c>
      <c r="AA28" s="85">
        <f>S$24*$F$66+S$27+S$28+S$31+S$39+S$42+S$43</f>
        <v>2</v>
      </c>
      <c r="AB28" s="142"/>
      <c r="AC28" s="85">
        <f>S$24*$H$66+S$26+S$28+S$31+S$34</f>
        <v>11</v>
      </c>
      <c r="AD28" s="85">
        <f>S$24*$I$66+S$27+S$29+S$31+S$37+S$41</f>
        <v>-2</v>
      </c>
      <c r="AE28" s="85">
        <f>S$24*$J$66+S$29+S$31</f>
        <v>5</v>
      </c>
      <c r="AF28" s="85">
        <f>S$24*$K$66+S$29+S$31</f>
        <v>7</v>
      </c>
      <c r="AG28" s="85">
        <f>S$24*$L$66+S$29+S$31</f>
        <v>5</v>
      </c>
      <c r="AH28" s="85">
        <f>S$24*$M$66+S$28+S$31+S$41</f>
        <v>5</v>
      </c>
      <c r="AI28" s="85">
        <f>S$24*$N$66+S$29+S$31+S$35</f>
        <v>3</v>
      </c>
      <c r="AJ28" s="85">
        <f>S$24*$O$66+S$28+S$31+S$41</f>
        <v>15</v>
      </c>
      <c r="AK28" s="99"/>
      <c r="AL28" s="99">
        <f>SUM(Y28-MIN(Y28:AJ28),Z28-MIN(Y28:AJ28),AA28-MIN(Y28:AJ28),AC28-MIN(Y28:AJ28),AD28-MIN(Y28:AJ28),AE28-MIN(Y28:AJ28),AF28-MIN(Y28:AJ28),AG28-MIN(Y28:AJ28),AH28-MIN(Y28:AJ28),AI28-MIN(Y28:AJ28),AJ28-MIN(Y28:AJ28))+(C28*SUM(Y28-MIN(Y28:AJ28),Z28-MIN(Y28:AJ28),AA28-MIN(Y28:AJ28),AC28-MIN(Y28:AJ28),AD28-MIN(Y28:AJ28),AE28-MIN(Y28:AJ28),AF28-MIN(Y28:AJ28),AG28-MIN(Y28:AJ28),AH28-MIN(Y28:AJ28),AI28-MIN(Y28:AJ28),AJ28-MIN(Y28:AJ28)))/(1-C28)</f>
        <v>112.64367816091954</v>
      </c>
      <c r="AN28" s="28"/>
      <c r="AO28" s="28"/>
      <c r="AP28" s="28"/>
      <c r="AQ28" s="28"/>
      <c r="AR28" s="28"/>
      <c r="AS28" s="28"/>
      <c r="AT28" s="28"/>
      <c r="AU28" s="28"/>
      <c r="AV28" s="28"/>
      <c r="AW28" s="28"/>
      <c r="AX28" s="28"/>
      <c r="AY28" s="28"/>
    </row>
    <row r="29" spans="1:51" x14ac:dyDescent="0.25">
      <c r="A29" s="6"/>
      <c r="B29" s="2" t="s">
        <v>20</v>
      </c>
      <c r="C29" s="4">
        <v>0.55000000000000004</v>
      </c>
      <c r="D29" s="4">
        <f t="shared" si="3"/>
        <v>0</v>
      </c>
      <c r="E29" s="4">
        <f t="shared" si="5"/>
        <v>4.0909090909090902E-2</v>
      </c>
      <c r="F29" s="4">
        <f t="shared" si="7"/>
        <v>2.2027972027972024E-2</v>
      </c>
      <c r="G29" s="4">
        <f t="shared" ref="G29:G36" si="9">(AB29-MIN($Y29:$AJ29))/$AL29</f>
        <v>5.6643356643356638E-2</v>
      </c>
      <c r="H29" s="5"/>
      <c r="I29" s="4">
        <f t="shared" ref="I29:O29" si="10">(AD29-MIN($Y29:$AJ29))/$AL29</f>
        <v>2.8321678321678319E-2</v>
      </c>
      <c r="J29" s="4">
        <f t="shared" si="10"/>
        <v>5.3496503496503485E-2</v>
      </c>
      <c r="K29" s="4">
        <f t="shared" si="10"/>
        <v>2.8321678321678319E-2</v>
      </c>
      <c r="L29" s="4">
        <f t="shared" si="10"/>
        <v>4.0909090909090902E-2</v>
      </c>
      <c r="M29" s="4">
        <f t="shared" si="10"/>
        <v>5.9790209790209783E-2</v>
      </c>
      <c r="N29" s="4">
        <f t="shared" si="10"/>
        <v>3.461538461538461E-2</v>
      </c>
      <c r="O29" s="4">
        <f t="shared" si="10"/>
        <v>8.496503496503495E-2</v>
      </c>
      <c r="P29" s="6"/>
      <c r="R29" t="s">
        <v>140</v>
      </c>
      <c r="S29" s="76">
        <v>-2</v>
      </c>
      <c r="T29" s="77">
        <v>2</v>
      </c>
      <c r="W29" s="144">
        <v>2</v>
      </c>
      <c r="X29" s="99" t="s">
        <v>20</v>
      </c>
      <c r="Y29" s="85">
        <f>S$24*$D$67+S$26+S$27+S$29+S$31+S$36</f>
        <v>-6</v>
      </c>
      <c r="Z29" s="85">
        <f>S$24*$E$67+S$29+S$31</f>
        <v>7</v>
      </c>
      <c r="AA29" s="85">
        <f>S$24*$F$67+S$26+S$28+S$31+S$33+S$38+S$39+S$42+S$43</f>
        <v>1</v>
      </c>
      <c r="AB29" s="85">
        <f>S$24*$G$67+S$26+S$28+S$31</f>
        <v>12</v>
      </c>
      <c r="AC29" s="142"/>
      <c r="AD29" s="85">
        <f>S$24*$I$67+S$29+S$31+S$36+S$37+S$38+S$41</f>
        <v>3</v>
      </c>
      <c r="AE29" s="85">
        <f>S$24*$J$67+S$26+S$29+S$31+S$38</f>
        <v>11</v>
      </c>
      <c r="AF29" s="85">
        <f>S$24*$K$67+S$26+S$29+S$31</f>
        <v>3</v>
      </c>
      <c r="AG29" s="85">
        <f>S$24*$L$67+S$29+S$31</f>
        <v>7</v>
      </c>
      <c r="AH29" s="85">
        <f>S$24*$M$67+S$28+S$31+S$41</f>
        <v>13</v>
      </c>
      <c r="AI29" s="85">
        <f>S$24*$N$67+S$26+S$29+S$31+S$36</f>
        <v>5</v>
      </c>
      <c r="AJ29" s="85">
        <f>S$24*$O$67+S$28+S$31+S$41</f>
        <v>21</v>
      </c>
      <c r="AK29" s="99"/>
      <c r="AL29" s="99">
        <f>SUM(Y29-MIN(Y29:AJ29),Z29-MIN(Y29:AJ29),AA29-MIN(Y29:AJ29),AB29-MIN(Y29:AJ29),AD29-MIN(Y29:AJ29),AE29-MIN(Y29:AJ29),AF29-MIN(Y29:AJ29),AG29-MIN(Y29:AJ29),AH29-MIN(Y29:AJ29),AI29-MIN(Y29:AJ29),AJ29-MIN(Y29:AJ29))+(C29*SUM(Y29-MIN(Y29:AJ29),Z29-MIN(Y29:AJ29),AA29-MIN(Y29:AJ29),AB29-MIN(Y29:AJ29),AD29-MIN(Y29:AJ29),AE29-MIN(Y29:AJ29),AF29-MIN(Y29:AJ29),AG29-MIN(Y29:AJ29),AH29-MIN(Y29:AJ29),AI29-MIN(Y29:AJ29),AJ29-MIN(Y29:AJ29)))/(1-C29)</f>
        <v>317.77777777777783</v>
      </c>
      <c r="AN29" s="28"/>
      <c r="AO29" s="28"/>
      <c r="AP29" s="28"/>
      <c r="AQ29" s="28"/>
      <c r="AR29" s="28"/>
      <c r="AS29" s="28"/>
      <c r="AT29" s="28"/>
      <c r="AU29" s="28"/>
      <c r="AV29" s="28"/>
      <c r="AW29" s="28"/>
      <c r="AX29" s="28"/>
      <c r="AY29" s="28"/>
    </row>
    <row r="30" spans="1:51" x14ac:dyDescent="0.25">
      <c r="A30" s="6"/>
      <c r="B30" s="2" t="s">
        <v>21</v>
      </c>
      <c r="C30" s="4">
        <v>0.34</v>
      </c>
      <c r="D30" s="4">
        <f t="shared" si="3"/>
        <v>1.714285714285714E-2</v>
      </c>
      <c r="E30" s="4">
        <f t="shared" si="5"/>
        <v>6.8571428571428561E-2</v>
      </c>
      <c r="F30" s="4">
        <f t="shared" si="7"/>
        <v>7.7142857142857124E-2</v>
      </c>
      <c r="G30" s="4">
        <f t="shared" si="9"/>
        <v>4.2857142857142851E-2</v>
      </c>
      <c r="H30" s="4">
        <f t="shared" ref="H30:H36" si="11">(AC30-MIN($Y30:$AJ30))/$AL30</f>
        <v>8.5714285714285701E-2</v>
      </c>
      <c r="I30" s="5"/>
      <c r="J30" s="4">
        <f t="shared" ref="J30:O30" si="12">(AE30-MIN($Y30:$AJ30))/$AL30</f>
        <v>0</v>
      </c>
      <c r="K30" s="4">
        <f t="shared" si="12"/>
        <v>4.2857142857142851E-2</v>
      </c>
      <c r="L30" s="4">
        <f t="shared" si="12"/>
        <v>2.571428571428571E-2</v>
      </c>
      <c r="M30" s="4">
        <f t="shared" si="12"/>
        <v>0.14571428571428569</v>
      </c>
      <c r="N30" s="4">
        <f t="shared" si="12"/>
        <v>2.571428571428571E-2</v>
      </c>
      <c r="O30" s="4">
        <f t="shared" si="12"/>
        <v>0.12857142857142856</v>
      </c>
      <c r="P30" s="6"/>
      <c r="R30" t="s">
        <v>141</v>
      </c>
      <c r="S30" s="76">
        <v>1</v>
      </c>
      <c r="T30" s="77">
        <v>-1</v>
      </c>
      <c r="W30" s="144">
        <v>4</v>
      </c>
      <c r="X30" s="99" t="s">
        <v>21</v>
      </c>
      <c r="Y30" s="85">
        <f>S$24*$D$68+S$26+S$31+S$36</f>
        <v>-1</v>
      </c>
      <c r="Z30" s="85">
        <f>S$24*$E$68+S$31</f>
        <v>5</v>
      </c>
      <c r="AA30" s="85">
        <f>S$24*$F$68+S$26+S$31+S$38+S$39+S$42+S$43</f>
        <v>6</v>
      </c>
      <c r="AB30" s="85">
        <f>S$24*$G$68+S$27+S$31</f>
        <v>2</v>
      </c>
      <c r="AC30" s="85">
        <f>S$24*$H$68+S$31+S$36+S$38</f>
        <v>7</v>
      </c>
      <c r="AD30" s="142"/>
      <c r="AE30" s="85">
        <f>S$24*$J$68+S$26*3+S$31+S$38</f>
        <v>-3</v>
      </c>
      <c r="AF30" s="85">
        <f>S$24*$K$68+S$27+S$31</f>
        <v>2</v>
      </c>
      <c r="AG30" s="85">
        <f>S$24*$L$68+S$26+S$27+S$31</f>
        <v>0</v>
      </c>
      <c r="AH30" s="85">
        <f>S$24*$M$68+S$31+S$41</f>
        <v>14</v>
      </c>
      <c r="AI30" s="85">
        <f>S$24*$N$68+S$26*2+S$28+S$31+S$36</f>
        <v>0</v>
      </c>
      <c r="AJ30" s="85">
        <f>S$24*$O$68+S$31+S$41</f>
        <v>12</v>
      </c>
      <c r="AK30" s="99"/>
      <c r="AL30" s="99">
        <f>SUM(Y30-MIN(Y30:AJ30),Z30-MIN(Y30:AJ30),AA30-MIN(Y30:AJ30),AB30-MIN(Y30:AJ30),AC30-MIN(Y30:AJ30),AE30-MIN(Y30:AJ30),AF30-MIN(Y30:AJ30),AG30-MIN(Y30:AJ30),AH30-MIN(Y30:AJ30),AI30-MIN(Y30:AJ30),AJ30-MIN(Y30:AJ30))+(C30*SUM(Y30-MIN(Y30:AJ30),Z30-MIN(Y30:AJ30),AA30-MIN(Y30:AJ30),AB30-MIN(Y30:AJ30),AC30-MIN(Y30:AJ30),AE30-MIN(Y30:AJ30),AF30-MIN(Y30:AJ30),AG30-MIN(Y30:AJ30),AH30-MIN(Y30:AJ30),AI30-MIN(Y30:AJ30),AJ30-MIN(Y30:AJ30)))/(1-C30)</f>
        <v>116.66666666666669</v>
      </c>
      <c r="AN30" s="28"/>
      <c r="AO30" s="28"/>
      <c r="AP30" s="28"/>
      <c r="AQ30" s="28"/>
      <c r="AR30" s="28"/>
      <c r="AS30" s="28"/>
      <c r="AT30" s="28"/>
      <c r="AU30" s="28"/>
      <c r="AV30" s="28"/>
      <c r="AW30" s="28"/>
      <c r="AX30" s="28"/>
      <c r="AY30" s="28"/>
    </row>
    <row r="31" spans="1:51" x14ac:dyDescent="0.25">
      <c r="A31" s="6"/>
      <c r="B31" s="2" t="s">
        <v>22</v>
      </c>
      <c r="C31" s="4">
        <v>0.55000000000000004</v>
      </c>
      <c r="D31" s="4">
        <f t="shared" si="3"/>
        <v>2.5714285714285717E-2</v>
      </c>
      <c r="E31" s="4">
        <f t="shared" si="5"/>
        <v>7.7142857142857152E-2</v>
      </c>
      <c r="F31" s="4">
        <f t="shared" si="7"/>
        <v>1.2857142857142859E-2</v>
      </c>
      <c r="G31" s="4">
        <f t="shared" si="9"/>
        <v>4.1785714285714287E-2</v>
      </c>
      <c r="H31" s="4">
        <f t="shared" si="11"/>
        <v>5.4642857142857146E-2</v>
      </c>
      <c r="I31" s="4">
        <f t="shared" ref="I31:I36" si="13">(AD31-MIN($Y31:$AJ31))/$AL31</f>
        <v>0</v>
      </c>
      <c r="J31" s="5"/>
      <c r="K31" s="4">
        <f>(AF31-MIN($Y31:$AJ31))/$AL31</f>
        <v>3.8571428571428576E-2</v>
      </c>
      <c r="L31" s="4">
        <f>(AG31-MIN($Y31:$AJ31))/$AL31</f>
        <v>7.7142857142857152E-2</v>
      </c>
      <c r="M31" s="4">
        <f>(AH31-MIN($Y31:$AJ31))/$AL31</f>
        <v>3.2142857142857147E-2</v>
      </c>
      <c r="N31" s="4">
        <f>(AI31-MIN($Y31:$AJ31))/$AL31</f>
        <v>5.7857142857142864E-2</v>
      </c>
      <c r="O31" s="4">
        <f>(AJ31-MIN($Y31:$AJ31))/$AL31</f>
        <v>3.2142857142857147E-2</v>
      </c>
      <c r="P31" s="6"/>
      <c r="R31" t="s">
        <v>142</v>
      </c>
      <c r="S31" s="76">
        <v>-1</v>
      </c>
      <c r="T31" s="77">
        <v>2</v>
      </c>
      <c r="W31" s="144">
        <v>3</v>
      </c>
      <c r="X31" s="99" t="s">
        <v>22</v>
      </c>
      <c r="Y31" s="85">
        <f>S$24*$D$69+S$27+S$28+S$31+S$34</f>
        <v>0</v>
      </c>
      <c r="Z31" s="85">
        <f>S$24*$E$69+S$28+S$30</f>
        <v>16</v>
      </c>
      <c r="AA31" s="85">
        <f>S$24*$F$69+S$26*2+S$29+S$31+S$33+S$38+S$39+S$42+S$43</f>
        <v>-4</v>
      </c>
      <c r="AB31" s="85">
        <f>S$24*$G$69+S$29+S$31</f>
        <v>5</v>
      </c>
      <c r="AC31" s="85">
        <f>S$24*$H$69+S$26+S$29+S$31+S$35+S$38</f>
        <v>9</v>
      </c>
      <c r="AD31" s="85">
        <f>S$24*$I$69+S$26*3+S$27+S$29+S$31+S$37+S$38+S$41</f>
        <v>-8</v>
      </c>
      <c r="AE31" s="142"/>
      <c r="AF31" s="85">
        <f>S$24*$K$69+S$26*2+S$28+S$31</f>
        <v>4</v>
      </c>
      <c r="AG31" s="85">
        <f>S$24*$L$69+S$28+S$31</f>
        <v>16</v>
      </c>
      <c r="AH31" s="85">
        <f>S$24*$M$69+S$26+S$29+S$31+S$41</f>
        <v>2</v>
      </c>
      <c r="AI31" s="85">
        <f>S$24*$N$69+S$26+S$31+S$34</f>
        <v>10</v>
      </c>
      <c r="AJ31" s="85">
        <f>S$24*$O$69+S$26+S$29+S$31+S$41</f>
        <v>2</v>
      </c>
      <c r="AK31" s="99"/>
      <c r="AL31" s="99">
        <f>SUM(Y31-MIN(Y31:AJ31),Z31-MIN(Y31:AJ31),AA31-MIN(Y31:AJ31),AB31-MIN(Y31:AJ31),AC31-MIN(Y31:AJ31),AD31-MIN(Y31:AJ31),AF31-MIN(Y31:AJ31),AG31-MIN(Y31:AJ31),AH31-MIN(Y31:AJ31),AI31-MIN(Y31:AJ31),AJ31-MIN(Y31:AJ31))+(C31*SUM(Y31-MIN(Y31:AJ31),Z31-MIN(Y31:AJ31),AA31-MIN(Y31:AJ31),AB31-MIN(Y31:AJ31),AC31-MIN(Y31:AJ31),AD31-MIN(Y31:AJ31),AF31-MIN(Y31:AJ31),AG31-MIN(Y31:AJ31),AH31-MIN(Y31:AJ31),AI31-MIN(Y31:AJ31),AJ31-MIN(Y31:AJ31)))/(1-C31)</f>
        <v>311.11111111111109</v>
      </c>
      <c r="AN31" s="28"/>
      <c r="AO31" s="28"/>
      <c r="AP31" s="28"/>
      <c r="AQ31" s="28"/>
      <c r="AR31" s="28"/>
      <c r="AS31" s="28"/>
      <c r="AT31" s="28"/>
      <c r="AU31" s="28"/>
      <c r="AV31" s="28"/>
      <c r="AW31" s="28"/>
      <c r="AX31" s="28"/>
      <c r="AY31" s="28"/>
    </row>
    <row r="32" spans="1:51" x14ac:dyDescent="0.25">
      <c r="A32" s="6"/>
      <c r="B32" s="2" t="s">
        <v>23</v>
      </c>
      <c r="C32" s="4">
        <v>0.03</v>
      </c>
      <c r="D32" s="4">
        <f t="shared" si="3"/>
        <v>4.6935483870967742E-2</v>
      </c>
      <c r="E32" s="4">
        <f t="shared" si="5"/>
        <v>0.15645161290322582</v>
      </c>
      <c r="F32" s="4">
        <f t="shared" si="7"/>
        <v>0</v>
      </c>
      <c r="G32" s="4">
        <f t="shared" si="9"/>
        <v>0.15645161290322582</v>
      </c>
      <c r="H32" s="4">
        <f t="shared" si="11"/>
        <v>6.2580645161290319E-2</v>
      </c>
      <c r="I32" s="4">
        <f t="shared" si="13"/>
        <v>1.564516129032258E-2</v>
      </c>
      <c r="J32" s="4">
        <f>(AE32-MIN($Y32:$AJ32))/$AL32</f>
        <v>0.10951612903225806</v>
      </c>
      <c r="K32" s="5"/>
      <c r="L32" s="4">
        <f>(AG32-MIN($Y32:$AJ32))/$AL32</f>
        <v>0.20338709677419356</v>
      </c>
      <c r="M32" s="4">
        <f>(AH32-MIN($Y32:$AJ32))/$AL32</f>
        <v>3.1290322580645159E-2</v>
      </c>
      <c r="N32" s="4">
        <f>(AI32-MIN($Y32:$AJ32))/$AL32</f>
        <v>7.8225806451612909E-2</v>
      </c>
      <c r="O32" s="4">
        <f>(AJ32-MIN($Y32:$AJ32))/$AL32</f>
        <v>0.10951612903225806</v>
      </c>
      <c r="P32" s="6"/>
      <c r="R32" t="s">
        <v>143</v>
      </c>
      <c r="S32" s="76">
        <v>2</v>
      </c>
      <c r="T32" s="77">
        <v>-2</v>
      </c>
      <c r="W32" s="144">
        <v>10</v>
      </c>
      <c r="X32" s="99" t="s">
        <v>23</v>
      </c>
      <c r="Y32" s="85">
        <f>S$24*$D$70+S$27+S$28+S$31+S$34</f>
        <v>0</v>
      </c>
      <c r="Z32" s="85">
        <f>S$24*$E$70+S$25+S$26+S$28+S$31</f>
        <v>7</v>
      </c>
      <c r="AA32" s="85">
        <f>S$24*$F$70+S$26+S$27+S$29+S$31+S$39+S$42+S$43</f>
        <v>-3</v>
      </c>
      <c r="AB32" s="85">
        <f>S$24*$G$70+S$29+S$31</f>
        <v>7</v>
      </c>
      <c r="AC32" s="85">
        <f>S$24*$H$70+S$26+S$29+S$31+S$35</f>
        <v>1</v>
      </c>
      <c r="AD32" s="85">
        <f>S$24*$I$70+S$27+S$29+S$31+S$37+S$41</f>
        <v>-2</v>
      </c>
      <c r="AE32" s="85">
        <f>S$24*$J$70+S$26*2+S$28+S$31</f>
        <v>4</v>
      </c>
      <c r="AF32" s="142"/>
      <c r="AG32" s="85">
        <f>S$24*$L$70+S$25+S$31</f>
        <v>10</v>
      </c>
      <c r="AH32" s="85">
        <f>S$24*$M$70+S$27+S$29+S$31+S$41</f>
        <v>-1</v>
      </c>
      <c r="AI32" s="85">
        <f>S$24*$N$70+S$26+S$31+S$34</f>
        <v>2</v>
      </c>
      <c r="AJ32" s="85">
        <f>S$24*$O$70+S$29+S$31+S$41</f>
        <v>4</v>
      </c>
      <c r="AK32" s="99"/>
      <c r="AL32" s="99">
        <f>SUM(Y32-MIN(Y32:AJ32),Z32-MIN(Y32:AJ32),AA32-MIN(Y32:AJ32),AB32-MIN(Y32:AJ32),AC32-MIN(Y32:AJ32),AD32-MIN(Y32:AJ32),AE32-MIN(Y32:AJ32),AG32-MIN(Y32:AJ32),AH32-MIN(Y32:AJ32),AI32-MIN(Y32:AJ32),AJ32-MIN(Y32:AJ32))+(C32*SUM(Y32-MIN(Y32:AJ32),Z32-MIN(Y32:AJ32),AA32-MIN(Y32:AJ32),AB32-MIN(Y32:AJ32),AC32-MIN(Y32:AJ32),AD32-MIN(Y32:AJ32),AE32-MIN(Y32:AJ32),AG32-MIN(Y32:AJ32),AH32-MIN(Y32:AJ32),AI32-MIN(Y32:AJ32),AJ32-MIN(Y32:AJ32)))/(1-C32)</f>
        <v>63.917525773195877</v>
      </c>
      <c r="AN32" s="28"/>
      <c r="AO32" s="28"/>
      <c r="AP32" s="28"/>
      <c r="AQ32" s="28"/>
      <c r="AR32" s="28"/>
      <c r="AS32" s="28"/>
      <c r="AT32" s="28"/>
      <c r="AU32" s="28"/>
      <c r="AV32" s="28"/>
      <c r="AW32" s="28"/>
      <c r="AX32" s="28"/>
      <c r="AY32" s="28"/>
    </row>
    <row r="33" spans="1:51" x14ac:dyDescent="0.25">
      <c r="A33" s="6"/>
      <c r="B33" s="2" t="s">
        <v>24</v>
      </c>
      <c r="C33" s="4">
        <v>0.21</v>
      </c>
      <c r="D33" s="4">
        <f t="shared" si="3"/>
        <v>2.872727272727273E-2</v>
      </c>
      <c r="E33" s="4">
        <f t="shared" si="5"/>
        <v>0.12927272727272729</v>
      </c>
      <c r="F33" s="4">
        <f t="shared" si="7"/>
        <v>5.745454545454546E-2</v>
      </c>
      <c r="G33" s="4">
        <f t="shared" si="9"/>
        <v>6.4636363636363645E-2</v>
      </c>
      <c r="H33" s="4">
        <f t="shared" si="11"/>
        <v>6.4636363636363645E-2</v>
      </c>
      <c r="I33" s="4">
        <f t="shared" si="13"/>
        <v>0</v>
      </c>
      <c r="J33" s="4">
        <f>(AE33-MIN($Y33:$AJ33))/$AL33</f>
        <v>0.14363636363636365</v>
      </c>
      <c r="K33" s="4">
        <f>(AF33-MIN($Y33:$AJ33))/$AL33</f>
        <v>0.10772727272727274</v>
      </c>
      <c r="L33" s="5"/>
      <c r="M33" s="4">
        <f>(AH33-MIN($Y33:$AJ33))/$AL33</f>
        <v>5.745454545454546E-2</v>
      </c>
      <c r="N33" s="4">
        <f>(AI33-MIN($Y33:$AJ33))/$AL33</f>
        <v>9.3363636363636371E-2</v>
      </c>
      <c r="O33" s="4">
        <f>(AJ33-MIN($Y33:$AJ33))/$AL33</f>
        <v>4.3090909090909096E-2</v>
      </c>
      <c r="P33" s="6"/>
      <c r="R33" t="s">
        <v>144</v>
      </c>
      <c r="S33" s="76">
        <v>-2</v>
      </c>
      <c r="T33" s="77">
        <v>2</v>
      </c>
      <c r="W33" s="144">
        <v>6</v>
      </c>
      <c r="X33" s="99" t="s">
        <v>24</v>
      </c>
      <c r="Y33" s="85">
        <f>S$24*$D$71+S$27+S$28+S$31+S$34</f>
        <v>0</v>
      </c>
      <c r="Z33" s="85">
        <f>S$24*$E$71+S$28+S$31</f>
        <v>14</v>
      </c>
      <c r="AA33" s="85">
        <f>S$24*$F$71+S$29+S$31+S$39+S$42+S$43</f>
        <v>4</v>
      </c>
      <c r="AB33" s="85">
        <f>S$24*$G$71+S$29+S$31</f>
        <v>5</v>
      </c>
      <c r="AC33" s="85">
        <f>S$24*$H$71+S$29+S$31+S$35</f>
        <v>5</v>
      </c>
      <c r="AD33" s="85">
        <f>S$24*$I$71+S$26+S$27+S$29+S$31+S$37+S$41</f>
        <v>-4</v>
      </c>
      <c r="AE33" s="85">
        <f>S$24*$J$71+S$28+S$31</f>
        <v>16</v>
      </c>
      <c r="AF33" s="85">
        <f>S$24*$K$71+S$25+S$28+S$31</f>
        <v>11</v>
      </c>
      <c r="AG33" s="142"/>
      <c r="AH33" s="85">
        <f>S$24*$M$71+S$29+S$31+S$41</f>
        <v>4</v>
      </c>
      <c r="AI33" s="85">
        <f>S$24*$N$71+S$28+S$31+S$34</f>
        <v>9</v>
      </c>
      <c r="AJ33" s="85">
        <f>S$24*$O$71+S$29+S$31+S$41</f>
        <v>2</v>
      </c>
      <c r="AK33" s="99"/>
      <c r="AL33" s="99">
        <f>SUM(Y33-MIN(Y33:AJ33),Z33-MIN(Y33:AJ33),AA33-MIN(Y33:AJ33),AB33-MIN(Y33:AJ33),AC33-MIN(Y33:AJ33),AD33-MIN(Y33:AJ33),AE33-MIN(Y33:AJ33),AF33-MIN(Y33:AJ33),AH33-MIN(Y33:AJ33),AI33-MIN(Y33:AJ33),AJ33-MIN(Y33:AJ33))+(C33*SUM(Y33-MIN(Y33:AJ33),Z33-MIN(Y33:AJ33),AA33-MIN(Y33:AJ33),AB33-MIN(Y33:AJ33),AC33-MIN(Y33:AJ33),AD33-MIN(Y33:AJ33),AE33-MIN(Y33:AJ33),AF33-MIN(Y33:AJ33),AH33-MIN(Y33:AJ33),AI33-MIN(Y33:AJ33),AJ33-MIN(Y33:AJ33)))/(1-C33)</f>
        <v>139.24050632911391</v>
      </c>
      <c r="AN33" s="28"/>
      <c r="AO33" s="28"/>
      <c r="AP33" s="28"/>
      <c r="AQ33" s="28"/>
      <c r="AR33" s="28"/>
      <c r="AS33" s="28"/>
      <c r="AT33" s="28"/>
      <c r="AU33" s="28"/>
      <c r="AV33" s="28"/>
      <c r="AW33" s="28"/>
      <c r="AX33" s="28"/>
      <c r="AY33" s="28"/>
    </row>
    <row r="34" spans="1:51" x14ac:dyDescent="0.25">
      <c r="A34" s="6"/>
      <c r="B34" s="2" t="s">
        <v>25</v>
      </c>
      <c r="C34" s="4">
        <v>0.34</v>
      </c>
      <c r="D34" s="4">
        <f t="shared" si="3"/>
        <v>0</v>
      </c>
      <c r="E34" s="4">
        <f t="shared" si="5"/>
        <v>6.7222222222222211E-2</v>
      </c>
      <c r="F34" s="4">
        <f t="shared" si="7"/>
        <v>9.166666666666666E-2</v>
      </c>
      <c r="G34" s="4">
        <f t="shared" si="9"/>
        <v>6.1111111111111102E-2</v>
      </c>
      <c r="H34" s="4">
        <f t="shared" si="11"/>
        <v>0.10388888888888888</v>
      </c>
      <c r="I34" s="4">
        <f t="shared" si="13"/>
        <v>9.166666666666666E-2</v>
      </c>
      <c r="J34" s="4">
        <f>(AE34-MIN($Y34:$AJ34))/$AL34</f>
        <v>4.2777777777777776E-2</v>
      </c>
      <c r="K34" s="4">
        <f>(AF34-MIN($Y34:$AJ34))/$AL34</f>
        <v>2.4444444444444442E-2</v>
      </c>
      <c r="L34" s="4">
        <f>(AG34-MIN($Y34:$AJ34))/$AL34</f>
        <v>5.4999999999999993E-2</v>
      </c>
      <c r="M34" s="5"/>
      <c r="N34" s="4">
        <f>(AI34-MIN($Y34:$AJ34))/$AL34</f>
        <v>1.833333333333333E-2</v>
      </c>
      <c r="O34" s="4">
        <f>(AJ34-MIN($Y34:$AJ34))/$AL34</f>
        <v>0.10388888888888888</v>
      </c>
      <c r="P34" s="6"/>
      <c r="R34" t="s">
        <v>145</v>
      </c>
      <c r="S34" s="76">
        <v>-1</v>
      </c>
      <c r="T34" s="77">
        <v>2</v>
      </c>
      <c r="W34" s="144">
        <v>5</v>
      </c>
      <c r="X34" s="99" t="s">
        <v>25</v>
      </c>
      <c r="Y34" s="85">
        <f>S$24*$D$72+S$27+S$29+S$31+S$35</f>
        <v>-4</v>
      </c>
      <c r="Z34" s="85">
        <f>S$24*$E$72+S$29+S$31</f>
        <v>7</v>
      </c>
      <c r="AA34" s="85">
        <f>S$24*$F$72+S$28+S$31+S$39+S$42+S$43</f>
        <v>11</v>
      </c>
      <c r="AB34" s="85">
        <f>S$24*$G$72+S$28+S$31</f>
        <v>6</v>
      </c>
      <c r="AC34" s="85">
        <f>S$24*$H$72+S$28+S$31+S$34</f>
        <v>13</v>
      </c>
      <c r="AD34" s="85">
        <f>S$24*$I$72+S$29+S$31+S$37+S$41</f>
        <v>11</v>
      </c>
      <c r="AE34" s="85">
        <f>S$24*$J$72+S$26+S$29+S$31</f>
        <v>3</v>
      </c>
      <c r="AF34" s="85">
        <f>S$24*$K$72+S$27+S$29+S$31</f>
        <v>0</v>
      </c>
      <c r="AG34" s="85">
        <f>S$24*$L$72+S$29+S$31</f>
        <v>5</v>
      </c>
      <c r="AH34" s="142"/>
      <c r="AI34" s="85">
        <f>S$24*$N$72+S$26+S$29+S$31+S$35</f>
        <v>-1</v>
      </c>
      <c r="AJ34" s="85">
        <f>S$24*$O$72+S$28+S$31+S$41</f>
        <v>13</v>
      </c>
      <c r="AK34" s="99"/>
      <c r="AL34" s="99">
        <f>SUM(Y34-MIN(Y34:AJ34),Z34-MIN(Y34:AJ34),AA34-MIN(Y34:AJ34),AB34-MIN(Y34:AJ34),AC34-MIN(Y34:AJ34),AD34-MIN(Y34:AJ34),AE34-MIN(Y34:AJ34),AF34-MIN(Y34:AJ34),AG34-MIN(Y34:AJ34),AI34-MIN(Y34:AJ34),AJ34-MIN(Y34:AJ34))+(C34*SUM(Y34-MIN(Y34:AJ34),Z34-MIN(Y34:AJ34),AA34-MIN(Y34:AJ34),AB34-MIN(Y34:AJ34),AC34-MIN(Y34:AJ34),AD34-MIN(Y34:AJ34),AE34-MIN(Y34:AJ34),AF34-MIN(Y34:AJ34),AG34-MIN(Y34:AJ34),AI34-MIN(Y34:AJ34),AJ34-MIN(Y34:AJ34)))/(1-C34)</f>
        <v>163.63636363636365</v>
      </c>
      <c r="AN34" s="28"/>
      <c r="AO34" s="28"/>
      <c r="AP34" s="28"/>
      <c r="AQ34" s="28"/>
      <c r="AR34" s="28"/>
      <c r="AS34" s="28"/>
      <c r="AT34" s="28"/>
      <c r="AU34" s="28"/>
      <c r="AV34" s="28"/>
      <c r="AW34" s="28"/>
      <c r="AX34" s="28"/>
      <c r="AY34" s="28"/>
    </row>
    <row r="35" spans="1:51" x14ac:dyDescent="0.25">
      <c r="A35" s="6"/>
      <c r="B35" s="2" t="s">
        <v>26</v>
      </c>
      <c r="C35" s="4">
        <v>0.02</v>
      </c>
      <c r="D35" s="4">
        <f t="shared" si="3"/>
        <v>8.9770992366412228E-2</v>
      </c>
      <c r="E35" s="4">
        <f t="shared" si="5"/>
        <v>0.17954198473282446</v>
      </c>
      <c r="F35" s="4">
        <f t="shared" si="7"/>
        <v>2.2442748091603057E-2</v>
      </c>
      <c r="G35" s="4">
        <f t="shared" si="9"/>
        <v>9.7251908396946571E-2</v>
      </c>
      <c r="H35" s="4">
        <f t="shared" si="11"/>
        <v>8.2290076335877871E-2</v>
      </c>
      <c r="I35" s="4">
        <f t="shared" si="13"/>
        <v>0</v>
      </c>
      <c r="J35" s="4">
        <f>(AE35-MIN($Y35:$AJ35))/$AL35</f>
        <v>0.14961832061068703</v>
      </c>
      <c r="K35" s="4">
        <f>(AF35-MIN($Y35:$AJ35))/$AL35</f>
        <v>8.9770992366412228E-2</v>
      </c>
      <c r="L35" s="4">
        <f>(AG35-MIN($Y35:$AJ35))/$AL35</f>
        <v>0.13465648854961834</v>
      </c>
      <c r="M35" s="4">
        <f>(AH35-MIN($Y35:$AJ35))/$AL35</f>
        <v>4.4885496183206114E-2</v>
      </c>
      <c r="N35" s="5"/>
      <c r="O35" s="4">
        <f>(AJ35-MIN($Y35:$AJ35))/$AL35</f>
        <v>8.9770992366412228E-2</v>
      </c>
      <c r="P35" s="6"/>
      <c r="R35" t="s">
        <v>146</v>
      </c>
      <c r="S35" s="76">
        <v>-2</v>
      </c>
      <c r="T35" s="77">
        <v>2</v>
      </c>
      <c r="W35" s="144">
        <v>11</v>
      </c>
      <c r="X35" s="99" t="s">
        <v>26</v>
      </c>
      <c r="Y35" s="85">
        <f>S$24*$D$73+S$25+S$28+S$30+S$34+S$36</f>
        <v>4</v>
      </c>
      <c r="Z35" s="85">
        <f>S$24*$E$73+S$28+S$31</f>
        <v>16</v>
      </c>
      <c r="AA35" s="85">
        <f>S$24*$F$73+S$26+S$27+S$29+S$31+S$33+S$39+S$42+S$43</f>
        <v>-5</v>
      </c>
      <c r="AB35" s="85">
        <f>S$24*$G$73+S$29+S$31</f>
        <v>5</v>
      </c>
      <c r="AC35" s="85">
        <f>S$24*$H$73+S$26+S$29+S$31+S$33+S$36</f>
        <v>3</v>
      </c>
      <c r="AD35" s="85">
        <f>S$24*$I$73+S$26*2+S$27+S$29+S$31+S$33+S$36+S$37+S$41</f>
        <v>-8</v>
      </c>
      <c r="AE35" s="85">
        <f>S$24*$J$73+S$26+S$28+S$31</f>
        <v>12</v>
      </c>
      <c r="AF35" s="85">
        <f>S$24*$K$73+S$26+S$28+S$31</f>
        <v>4</v>
      </c>
      <c r="AG35" s="85">
        <f>S$24*$L$73+S$28+S$31</f>
        <v>10</v>
      </c>
      <c r="AH35" s="85">
        <f>S$24*$M$73+S$26+S$29+S$31+S$33+S$41</f>
        <v>-2</v>
      </c>
      <c r="AI35" s="142"/>
      <c r="AJ35" s="85">
        <f>S$24*$O$73+S$29+S$31+S$41</f>
        <v>4</v>
      </c>
      <c r="AK35" s="99"/>
      <c r="AL35" s="99">
        <f>SUM(Y35-MIN(Y35:AJ35),Z35-MIN(Y35:AJ35),AA35-MIN(Y35:AJ35),AB35-MIN(Y35:AJ35),AC35-MIN(Y35:AJ35),AD35-MIN(Y35:AJ35),AE35-MIN(Y35:AJ35),AF35-MIN(Y35:AJ35),AG35-MIN(Y35:AJ35),AH35-MIN(Y35:AJ35),AJ35-MIN(Y35:AJ35))+(C35*SUM(Y35-MIN(Y35:AJ35),Z35-MIN(Y35:AJ35),AA35-MIN(Y35:AJ35),AB35-MIN(Y35:AJ35),AC35-MIN(Y35:AJ35),AD35-MIN(Y35:AJ35),AE35-MIN(Y35:AJ35),AF35-MIN(Y35:AJ35),AG35-MIN(Y35:AJ35),AH35-MIN(Y35:AJ35),AJ35-MIN(Y35:AJ35)))/(1-C35)</f>
        <v>133.67346938775509</v>
      </c>
      <c r="AN35" s="28"/>
      <c r="AO35" s="28"/>
      <c r="AP35" s="28"/>
      <c r="AQ35" s="28"/>
      <c r="AR35" s="28"/>
      <c r="AS35" s="28"/>
      <c r="AT35" s="28"/>
      <c r="AU35" s="28"/>
      <c r="AV35" s="28"/>
      <c r="AW35" s="28"/>
      <c r="AX35" s="28"/>
      <c r="AY35" s="28"/>
    </row>
    <row r="36" spans="1:51" x14ac:dyDescent="0.25">
      <c r="A36" s="6"/>
      <c r="B36" s="2" t="s">
        <v>27</v>
      </c>
      <c r="C36" s="4">
        <v>0.05</v>
      </c>
      <c r="D36" s="4">
        <f t="shared" si="3"/>
        <v>0</v>
      </c>
      <c r="E36" s="4">
        <f t="shared" si="5"/>
        <v>6.9512195121951212E-2</v>
      </c>
      <c r="F36" s="4">
        <f t="shared" si="7"/>
        <v>6.9512195121951212E-2</v>
      </c>
      <c r="G36" s="4">
        <f t="shared" si="9"/>
        <v>0.15447154471544713</v>
      </c>
      <c r="H36" s="4">
        <f t="shared" si="11"/>
        <v>0.19308943089430891</v>
      </c>
      <c r="I36" s="4">
        <f t="shared" si="13"/>
        <v>0.10040650406504063</v>
      </c>
      <c r="J36" s="4">
        <f>(AE36-MIN($Y36:$AJ36))/$AL36</f>
        <v>5.4065040650406501E-2</v>
      </c>
      <c r="K36" s="4">
        <f>(AF36-MIN($Y36:$AJ36))/$AL36</f>
        <v>6.9512195121951212E-2</v>
      </c>
      <c r="L36" s="4">
        <f>(AG36-MIN($Y36:$AJ36))/$AL36</f>
        <v>5.4065040650406501E-2</v>
      </c>
      <c r="M36" s="4">
        <f>(AH36-MIN($Y36:$AJ36))/$AL36</f>
        <v>0.13130081300813007</v>
      </c>
      <c r="N36" s="4">
        <f>(AI36-MIN($Y36:$AJ36))/$AL36</f>
        <v>5.4065040650406501E-2</v>
      </c>
      <c r="O36" s="5"/>
      <c r="P36" s="6"/>
      <c r="R36" t="s">
        <v>147</v>
      </c>
      <c r="S36" s="76">
        <v>-2</v>
      </c>
      <c r="T36" s="77">
        <v>2</v>
      </c>
      <c r="W36" s="144">
        <v>9</v>
      </c>
      <c r="X36" s="99" t="s">
        <v>27</v>
      </c>
      <c r="Y36" s="85">
        <f>S$24*$D$74+S$27+S$29+S$31+S$35</f>
        <v>-4</v>
      </c>
      <c r="Z36" s="85">
        <f>S$24*$E$74+S$29+S$31</f>
        <v>5</v>
      </c>
      <c r="AA36" s="85">
        <f>S$24*$F$74+S$26+S$28+S$31+S$39+S$42+S$43</f>
        <v>5</v>
      </c>
      <c r="AB36" s="85">
        <f>S$24*$G$74+S$28+S$31</f>
        <v>16</v>
      </c>
      <c r="AC36" s="85">
        <f>S$24*$H$74+S$28+S$31+S$34</f>
        <v>21</v>
      </c>
      <c r="AD36" s="85">
        <f>S$24*$I$74+S$29+S$31+S$37+S$41</f>
        <v>9</v>
      </c>
      <c r="AE36" s="85">
        <f>S$24*$J$74+S$26+S$29+S$31</f>
        <v>3</v>
      </c>
      <c r="AF36" s="85">
        <f>S$24*$K$74+S$29+S$31</f>
        <v>5</v>
      </c>
      <c r="AG36" s="85">
        <f>S$24*$L$74+S$29+S$31</f>
        <v>3</v>
      </c>
      <c r="AH36" s="85">
        <f>S$24*$M$74+S$28+S$31+S$41</f>
        <v>13</v>
      </c>
      <c r="AI36" s="85">
        <f>S$24*$N$74+S$29+S$31+S$35</f>
        <v>3</v>
      </c>
      <c r="AJ36" s="142"/>
      <c r="AK36" s="99"/>
      <c r="AL36" s="99">
        <f>SUM(Y36-MIN(Y36:AJ36),Z36-MIN(Y36:AJ36),AA36-MIN(Y36:AJ36),AB36-MIN(Y36:AJ36),AC36-MIN(Y36:AJ36),AD36-MIN(Y36:AJ36),AE36-MIN(Y36:AJ36),AF36-MIN(Y36:AJ36),AG36-MIN(Y36:AJ36),AH36-MIN(Y36:AJ36),AI36-MIN(Y36:AJ36))+(C36*SUM(Y36-MIN(Y36:AJ36),Z36-MIN(Y36:AJ36),AA36-MIN(Y36:AJ36),AB36-MIN(Y36:AJ36),AC36-MIN(Y36:AJ36),AD36-MIN(Y36:AJ36),AE36-MIN(Y36:AJ36),AF36-MIN(Y36:AJ36),AG36-MIN(Y36:AJ36),AH36-MIN(Y36:AJ36),AI36-MIN(Y36:AJ36)))/(1-C36)</f>
        <v>129.47368421052633</v>
      </c>
      <c r="AN36" s="28"/>
      <c r="AO36" s="28"/>
      <c r="AP36" s="28"/>
      <c r="AQ36" s="28"/>
      <c r="AR36" s="28"/>
      <c r="AS36" s="28"/>
      <c r="AT36" s="28"/>
      <c r="AU36" s="28"/>
      <c r="AV36" s="28"/>
      <c r="AW36" s="28"/>
      <c r="AX36" s="28"/>
      <c r="AY36" s="28"/>
    </row>
    <row r="37" spans="1:51" x14ac:dyDescent="0.25">
      <c r="A37" s="6"/>
      <c r="B37" s="6"/>
      <c r="C37" s="6"/>
      <c r="D37" s="6"/>
      <c r="E37" s="6"/>
      <c r="F37" s="6"/>
      <c r="G37" s="6"/>
      <c r="H37" s="6"/>
      <c r="I37" s="6"/>
      <c r="J37" s="6"/>
      <c r="K37" s="6"/>
      <c r="L37" s="6"/>
      <c r="M37" s="6"/>
      <c r="N37" s="6"/>
      <c r="O37" s="6"/>
      <c r="P37" s="6"/>
      <c r="R37" t="s">
        <v>148</v>
      </c>
      <c r="S37" s="76">
        <v>-1</v>
      </c>
      <c r="T37" s="77">
        <v>2</v>
      </c>
      <c r="W37" s="99"/>
      <c r="X37" s="99"/>
      <c r="Y37" s="99"/>
      <c r="Z37" s="99"/>
      <c r="AA37" s="99"/>
      <c r="AB37" s="99"/>
      <c r="AC37" s="99"/>
      <c r="AD37" s="99"/>
      <c r="AE37" s="99"/>
      <c r="AF37" s="99"/>
      <c r="AG37" s="99"/>
      <c r="AH37" s="99"/>
      <c r="AI37" s="99"/>
      <c r="AJ37" s="99"/>
      <c r="AK37" s="99"/>
      <c r="AL37" s="99"/>
    </row>
    <row r="38" spans="1:51" x14ac:dyDescent="0.25">
      <c r="C38" s="4"/>
      <c r="R38" t="s">
        <v>149</v>
      </c>
      <c r="S38" s="76">
        <v>-2</v>
      </c>
      <c r="T38" s="77">
        <v>1</v>
      </c>
      <c r="W38" s="99"/>
      <c r="X38" s="99"/>
      <c r="Y38" s="99"/>
      <c r="Z38" s="99"/>
      <c r="AA38" s="99"/>
      <c r="AB38" s="99"/>
      <c r="AC38" s="99"/>
      <c r="AD38" s="99"/>
      <c r="AE38" s="99"/>
      <c r="AF38" s="99"/>
      <c r="AG38" s="99"/>
      <c r="AH38" s="99"/>
      <c r="AI38" s="99"/>
      <c r="AJ38" s="99"/>
      <c r="AK38" s="99"/>
      <c r="AL38" s="99"/>
    </row>
    <row r="39" spans="1:51" x14ac:dyDescent="0.25">
      <c r="R39" t="s">
        <v>165</v>
      </c>
      <c r="S39" s="76"/>
      <c r="T39" s="77">
        <v>2</v>
      </c>
      <c r="W39" s="99"/>
      <c r="X39" s="99"/>
      <c r="Y39" s="99"/>
      <c r="Z39" s="99"/>
      <c r="AA39" s="99"/>
      <c r="AB39" s="99"/>
      <c r="AC39" s="99"/>
      <c r="AD39" s="99"/>
      <c r="AE39" s="99"/>
      <c r="AF39" s="99"/>
      <c r="AG39" s="99"/>
      <c r="AH39" s="99"/>
      <c r="AI39" s="99"/>
      <c r="AJ39" s="99"/>
      <c r="AK39" s="99"/>
      <c r="AL39" s="99"/>
    </row>
    <row r="40" spans="1:51" x14ac:dyDescent="0.25">
      <c r="A40" s="8"/>
      <c r="B40" s="9" t="s">
        <v>34</v>
      </c>
      <c r="C40" s="8"/>
      <c r="D40" s="8"/>
      <c r="E40" s="8"/>
      <c r="F40" s="8"/>
      <c r="G40" s="8"/>
      <c r="H40" s="8"/>
      <c r="I40" s="8"/>
      <c r="J40" s="8"/>
      <c r="K40" s="8"/>
      <c r="L40" s="8"/>
      <c r="M40" s="8"/>
      <c r="N40" s="8"/>
      <c r="O40" s="8"/>
      <c r="P40" s="8"/>
      <c r="R40" t="s">
        <v>159</v>
      </c>
      <c r="S40" s="76">
        <v>2</v>
      </c>
      <c r="T40" s="77">
        <v>-1</v>
      </c>
      <c r="W40" s="99"/>
      <c r="X40" s="143" t="s">
        <v>34</v>
      </c>
      <c r="Y40" s="99"/>
      <c r="Z40" s="99"/>
      <c r="AA40" s="99"/>
      <c r="AB40" s="99"/>
      <c r="AC40" s="99"/>
      <c r="AD40" s="99"/>
      <c r="AE40" s="99"/>
      <c r="AF40" s="99"/>
      <c r="AG40" s="99"/>
      <c r="AH40" s="99"/>
      <c r="AI40" s="99"/>
      <c r="AJ40" s="99"/>
      <c r="AK40" s="99"/>
      <c r="AL40" s="99"/>
    </row>
    <row r="41" spans="1:51" x14ac:dyDescent="0.25">
      <c r="A41" s="8"/>
      <c r="B41" s="8"/>
      <c r="C41" s="3" t="s">
        <v>30</v>
      </c>
      <c r="D41" s="3" t="s">
        <v>16</v>
      </c>
      <c r="E41" s="3" t="s">
        <v>17</v>
      </c>
      <c r="F41" s="3" t="s">
        <v>18</v>
      </c>
      <c r="G41" s="3" t="s">
        <v>19</v>
      </c>
      <c r="H41" s="3" t="s">
        <v>20</v>
      </c>
      <c r="I41" s="3" t="s">
        <v>21</v>
      </c>
      <c r="J41" s="3" t="s">
        <v>22</v>
      </c>
      <c r="K41" s="3" t="s">
        <v>23</v>
      </c>
      <c r="L41" s="3" t="s">
        <v>24</v>
      </c>
      <c r="M41" s="3" t="s">
        <v>25</v>
      </c>
      <c r="N41" s="3" t="s">
        <v>26</v>
      </c>
      <c r="O41" s="3" t="s">
        <v>27</v>
      </c>
      <c r="P41" s="8"/>
      <c r="R41" t="s">
        <v>160</v>
      </c>
      <c r="S41" s="76">
        <v>-1</v>
      </c>
      <c r="T41" s="77">
        <v>2</v>
      </c>
      <c r="W41" s="99"/>
      <c r="X41" s="99"/>
      <c r="Y41" s="99" t="s">
        <v>16</v>
      </c>
      <c r="Z41" s="99" t="s">
        <v>17</v>
      </c>
      <c r="AA41" s="99" t="s">
        <v>18</v>
      </c>
      <c r="AB41" s="99" t="s">
        <v>19</v>
      </c>
      <c r="AC41" s="99" t="s">
        <v>20</v>
      </c>
      <c r="AD41" s="99" t="s">
        <v>21</v>
      </c>
      <c r="AE41" s="99" t="s">
        <v>22</v>
      </c>
      <c r="AF41" s="99" t="s">
        <v>23</v>
      </c>
      <c r="AG41" s="99" t="s">
        <v>24</v>
      </c>
      <c r="AH41" s="99" t="s">
        <v>25</v>
      </c>
      <c r="AI41" s="99" t="s">
        <v>26</v>
      </c>
      <c r="AJ41" s="99" t="s">
        <v>27</v>
      </c>
      <c r="AK41" s="99"/>
      <c r="AL41" s="99"/>
    </row>
    <row r="42" spans="1:51" x14ac:dyDescent="0.25">
      <c r="A42" s="8"/>
      <c r="B42" s="2" t="s">
        <v>16</v>
      </c>
      <c r="C42" s="4">
        <f ca="1">RANDBETWEEN(100,200)/10000</f>
        <v>1.38E-2</v>
      </c>
      <c r="D42" s="5"/>
      <c r="E42" s="4">
        <f t="shared" ref="E42:O42" ca="1" si="14">(Z42-MIN($Y42:$AJ42))/$AL42</f>
        <v>4.1670422535211263E-2</v>
      </c>
      <c r="F42" s="4">
        <f t="shared" ca="1" si="14"/>
        <v>0.1389014084507042</v>
      </c>
      <c r="G42" s="4">
        <f t="shared" ca="1" si="14"/>
        <v>8.3340845070422526E-2</v>
      </c>
      <c r="H42" s="4">
        <f t="shared" ca="1" si="14"/>
        <v>0.16668169014084505</v>
      </c>
      <c r="I42" s="4">
        <f t="shared" ca="1" si="14"/>
        <v>0.20835211267605633</v>
      </c>
      <c r="J42" s="4">
        <f t="shared" ca="1" si="14"/>
        <v>4.1670422535211263E-2</v>
      </c>
      <c r="K42" s="4">
        <f t="shared" ca="1" si="14"/>
        <v>4.1670422535211263E-2</v>
      </c>
      <c r="L42" s="4">
        <f t="shared" ca="1" si="14"/>
        <v>4.1670422535211263E-2</v>
      </c>
      <c r="M42" s="4">
        <f t="shared" ca="1" si="14"/>
        <v>0.11112112676056338</v>
      </c>
      <c r="N42" s="4">
        <f t="shared" ca="1" si="14"/>
        <v>0</v>
      </c>
      <c r="O42" s="4">
        <f t="shared" ca="1" si="14"/>
        <v>0.11112112676056338</v>
      </c>
      <c r="P42" s="8"/>
      <c r="R42" t="s">
        <v>161</v>
      </c>
      <c r="S42" s="76">
        <v>-1</v>
      </c>
      <c r="T42" s="77">
        <v>2</v>
      </c>
      <c r="W42" s="99"/>
      <c r="X42" s="99" t="s">
        <v>16</v>
      </c>
      <c r="Y42" s="142"/>
      <c r="Z42" s="85">
        <f>T$24*$E$63+T$27+T$28+T$31</f>
        <v>1</v>
      </c>
      <c r="AA42" s="85">
        <f>T$24*$F$63+T$27+T$29+T$31+T$39+T$42+T$43</f>
        <v>8</v>
      </c>
      <c r="AB42" s="85">
        <f>T$24*$G$63+T$27+T$29+T$31</f>
        <v>4</v>
      </c>
      <c r="AC42" s="85">
        <f>T$24*$H$63+T$26+T$27+T$29+T$31+T$33+T$36</f>
        <v>10</v>
      </c>
      <c r="AD42" s="85">
        <f>T$24*$I$63+T$26+T$27+T$29+T$31+T$33+T$36+T$37+T$41</f>
        <v>13</v>
      </c>
      <c r="AE42" s="85">
        <f>T$24*$J$63+T$27+T$28+T$31</f>
        <v>1</v>
      </c>
      <c r="AF42" s="85">
        <f>T$24*$K$63+T$27+T$28+T$31</f>
        <v>1</v>
      </c>
      <c r="AG42" s="85">
        <f>T$24*$L$63+T$27+T$28+T$31</f>
        <v>1</v>
      </c>
      <c r="AH42" s="85">
        <f>T$24*$M$63+T$27+T$29+T$31+T$41</f>
        <v>6</v>
      </c>
      <c r="AI42" s="85">
        <f>T$24*$N$63+T$25+T$27+T$28+T$30+T$36</f>
        <v>-2</v>
      </c>
      <c r="AJ42" s="85">
        <f>T$24*$O$63+T$27+T$29+T$31+T$41</f>
        <v>6</v>
      </c>
      <c r="AK42" s="99"/>
      <c r="AL42" s="99">
        <f ca="1">SUM(Z42-MIN(Y42:AJ42),AA42-MIN(Y42:AJ42),AB42-MIN(Y42:AJ42),AC42-MIN(Y42:AJ42),AD42-MIN(Y42:AJ42),AE42-MIN(Y42:AJ42),AF42-MIN(Y42:AJ42),AG42-MIN(Y42:AJ42),AH42-MIN(Y42:AJ42),AI42-MIN(Y42:AJ42),AJ42-MIN(Y42:AJ42))+(C42*SUM(Z42-MIN(Y42:AJ42),AA42-MIN(Y42:AJ42),AB42-MIN(Y42:AJ42),AC42-MIN(Y42:AJ42),AD42-MIN(Y42:AJ42),AE42-MIN(Y42:AJ42),AF42-MIN(Y42:AJ42),AG42-MIN(Y42:AJ42),AH42-MIN(Y42:AJ42),AI42-MIN(Y42:AJ42),AJ42-MIN(Y42:AJ42)))/(1-C42)</f>
        <v>71.993510444128987</v>
      </c>
    </row>
    <row r="43" spans="1:51" x14ac:dyDescent="0.25">
      <c r="A43" s="8"/>
      <c r="B43" s="2" t="s">
        <v>17</v>
      </c>
      <c r="C43" s="4">
        <f t="shared" ref="C43:C54" ca="1" si="15">RANDBETWEEN(100,200)/10000</f>
        <v>1.7000000000000001E-2</v>
      </c>
      <c r="D43" s="4">
        <f t="shared" ref="D43:D53" ca="1" si="16">(Y43-MIN($Y43:$AJ43))/$AL43</f>
        <v>0.12548936170212766</v>
      </c>
      <c r="E43" s="5"/>
      <c r="F43" s="4">
        <f t="shared" ref="F43:O43" ca="1" si="17">(AA43-MIN($Y43:$AJ43))/$AL43</f>
        <v>0.14640425531914894</v>
      </c>
      <c r="G43" s="4">
        <f t="shared" ca="1" si="17"/>
        <v>8.3659574468085113E-2</v>
      </c>
      <c r="H43" s="4">
        <f t="shared" ca="1" si="17"/>
        <v>0.10457446808510638</v>
      </c>
      <c r="I43" s="4">
        <f t="shared" ca="1" si="17"/>
        <v>0.15686170212765957</v>
      </c>
      <c r="J43" s="4">
        <f t="shared" ca="1" si="17"/>
        <v>0</v>
      </c>
      <c r="K43" s="4">
        <f t="shared" ca="1" si="17"/>
        <v>7.320212765957447E-2</v>
      </c>
      <c r="L43" s="4">
        <f t="shared" ca="1" si="17"/>
        <v>3.1372340425531914E-2</v>
      </c>
      <c r="M43" s="4">
        <f t="shared" ca="1" si="17"/>
        <v>0.10457446808510638</v>
      </c>
      <c r="N43" s="4">
        <f t="shared" ca="1" si="17"/>
        <v>4.1829787234042556E-2</v>
      </c>
      <c r="O43" s="4">
        <f t="shared" ca="1" si="17"/>
        <v>0.11503191489361703</v>
      </c>
      <c r="P43" s="8"/>
      <c r="R43" t="s">
        <v>164</v>
      </c>
      <c r="S43" s="76">
        <v>2</v>
      </c>
      <c r="T43" s="77">
        <v>-1</v>
      </c>
      <c r="W43" s="99"/>
      <c r="X43" s="99" t="s">
        <v>17</v>
      </c>
      <c r="Y43" s="85">
        <f>T$24*$D$64+T$27+T$28+T$31+T$34</f>
        <v>3</v>
      </c>
      <c r="Z43" s="142"/>
      <c r="AA43" s="85">
        <f>T$24*$F$64+T$26+T$29+T$31+T$39+T$42+T$43</f>
        <v>5</v>
      </c>
      <c r="AB43" s="85">
        <f>T$24*$G$64+T$29+T$31</f>
        <v>-1</v>
      </c>
      <c r="AC43" s="85">
        <f>T$24*$H$64+T$29+T$31+T$35</f>
        <v>1</v>
      </c>
      <c r="AD43" s="85">
        <f>T$24*$I$64+T$27+T$29+T$31+T$37+T$41</f>
        <v>6</v>
      </c>
      <c r="AE43" s="85">
        <f>T$24*$J$64+T$28+T$30</f>
        <v>-9</v>
      </c>
      <c r="AF43" s="85">
        <f>T$24*$K$64+T$25+T$26+T$28+T$31</f>
        <v>-2</v>
      </c>
      <c r="AG43" s="85">
        <f>T$24*$L$64+T$28+T$31</f>
        <v>-6</v>
      </c>
      <c r="AH43" s="85">
        <f>T$24*$M$64+T$29+T$31+T$41</f>
        <v>1</v>
      </c>
      <c r="AI43" s="85">
        <f>T$24*$N$64+T$28+T$31+T$34</f>
        <v>-5</v>
      </c>
      <c r="AJ43" s="85">
        <f>T$24*$O$64+T$29+T$31+T$41</f>
        <v>2</v>
      </c>
      <c r="AK43" s="99"/>
      <c r="AL43" s="99">
        <f ca="1">SUM(Y43-MIN(Y43:AJ43),AA43-MIN(Y43:AJ43),AB43-MIN(Y43:AJ43),AC43-MIN(Y43:AJ43),AD43-MIN(Y43:AJ43),AE43-MIN(Y43:AJ43),AF43-MIN(Y43:AJ43),AG43-MIN(Y43:AJ43),AH43-MIN(Y43:AJ43),AI43-MIN(Y43:AJ43),AJ43-MIN(Y43:AJ43))+(C43*SUM(Y43-MIN(Y43:AJ43),AA43-MIN(Y43:AJ43),AB43-MIN(Y43:AJ43),AC43-MIN(Y43:AJ43),AD43-MIN(Y43:AJ43),AE43-MIN(Y43:AJ43),AF43-MIN(Y43:AJ43),AG43-MIN(Y43:AJ43),AH43-MIN(Y43:AJ43),AI43-MIN(Y43:AJ43),AJ43-MIN(Y43:AJ43)))/(1-C43)</f>
        <v>95.625635808748726</v>
      </c>
    </row>
    <row r="44" spans="1:51" x14ac:dyDescent="0.25">
      <c r="A44" s="8"/>
      <c r="B44" s="2" t="s">
        <v>18</v>
      </c>
      <c r="C44" s="4">
        <f t="shared" ca="1" si="15"/>
        <v>1.38E-2</v>
      </c>
      <c r="D44" s="4">
        <f t="shared" ca="1" si="16"/>
        <v>0.1517230769230769</v>
      </c>
      <c r="E44" s="4">
        <f t="shared" ref="E44:E53" ca="1" si="18">(Z44-MIN($Y44:$AJ44))/$AL44</f>
        <v>5.6896153846153846E-2</v>
      </c>
      <c r="F44" s="5"/>
      <c r="G44" s="4">
        <f t="shared" ref="G44:O44" ca="1" si="19">(AB44-MIN($Y44:$AJ44))/$AL44</f>
        <v>3.7930769230769226E-2</v>
      </c>
      <c r="H44" s="4">
        <f t="shared" ca="1" si="19"/>
        <v>7.5861538461538452E-2</v>
      </c>
      <c r="I44" s="4">
        <f t="shared" ca="1" si="19"/>
        <v>0.1327576923076923</v>
      </c>
      <c r="J44" s="4">
        <f t="shared" ca="1" si="19"/>
        <v>0.1327576923076923</v>
      </c>
      <c r="K44" s="4">
        <f t="shared" ca="1" si="19"/>
        <v>0.1327576923076923</v>
      </c>
      <c r="L44" s="4">
        <f t="shared" ca="1" si="19"/>
        <v>3.7930769230769226E-2</v>
      </c>
      <c r="M44" s="4">
        <f t="shared" ca="1" si="19"/>
        <v>0</v>
      </c>
      <c r="N44" s="4">
        <f t="shared" ca="1" si="19"/>
        <v>0.17068846153846154</v>
      </c>
      <c r="O44" s="4">
        <f t="shared" ca="1" si="19"/>
        <v>5.6896153846153846E-2</v>
      </c>
      <c r="P44" s="8"/>
      <c r="R44" t="s">
        <v>183</v>
      </c>
      <c r="S44" s="76">
        <v>1</v>
      </c>
      <c r="T44" s="77">
        <v>-1</v>
      </c>
      <c r="W44" s="99"/>
      <c r="X44" s="99" t="s">
        <v>18</v>
      </c>
      <c r="Y44" s="85">
        <f>T$24*$D$65+T$27+T$29+T$31+T$35</f>
        <v>7</v>
      </c>
      <c r="Z44" s="85">
        <f>T$24*$E$65+T$26+T$29+T$31</f>
        <v>2</v>
      </c>
      <c r="AA44" s="142"/>
      <c r="AB44" s="85">
        <f>T$24*$G$65+T$27+T$28+T$31</f>
        <v>1</v>
      </c>
      <c r="AC44" s="85">
        <f>T$24*$H$65+T$26+T$28+T$31+T$34+T$38</f>
        <v>3</v>
      </c>
      <c r="AD44" s="85">
        <f>T$24*$I$65+T$26+T$29+T$31+T$37+T$38+T$41</f>
        <v>6</v>
      </c>
      <c r="AE44" s="85">
        <f>T$24*$J$65+T$26*2+T$29+T$31+T$38</f>
        <v>6</v>
      </c>
      <c r="AF44" s="85">
        <f>T$24*$K$65+T$26+T$27+T$29+T$31</f>
        <v>6</v>
      </c>
      <c r="AG44" s="85">
        <f>T$24*$L$65+T$29+T$31</f>
        <v>1</v>
      </c>
      <c r="AH44" s="85">
        <f>T$24*$M$65+T$31+T$41</f>
        <v>-1</v>
      </c>
      <c r="AI44" s="85">
        <f>T$24*$N$65+T$26+T$27+T$29+T$31+T$35</f>
        <v>8</v>
      </c>
      <c r="AJ44" s="85">
        <f>T$24*$O$65+T$26+T$28+T$31+T$41</f>
        <v>2</v>
      </c>
      <c r="AK44" s="99"/>
      <c r="AL44" s="99">
        <f ca="1">SUM(Y44-MIN(Y44:AJ44),Z44-MIN(Y44:AJ44),AB44-MIN(Y44:AJ44),AC44-MIN(Y44:AJ44),AD44-MIN(Y44:AJ44),AE44-MIN(Y44:AJ44),AF44-MIN(Y44:AJ44),AG44-MIN(Y44:AJ44),AH44-MIN(Y44:AJ44),AI44-MIN(Y44:AJ44),AJ44-MIN(Y44:AJ44))+(C44*SUM(Y44-MIN(Y44:AJ44),Z44-MIN(Y44:AJ44),AB44-MIN(Y44:AJ44),AC44-MIN(Y44:AJ44),AD44-MIN(Y44:AJ44),AE44-MIN(Y44:AJ44),AF44-MIN(Y44:AJ44),AG44-MIN(Y44:AJ44),AH44-MIN(Y44:AJ44),AI44-MIN(Y44:AJ44),AJ44-MIN(Y44:AJ44)))/(1-C44)</f>
        <v>52.727641452038128</v>
      </c>
    </row>
    <row r="45" spans="1:51" x14ac:dyDescent="0.25">
      <c r="A45" s="8"/>
      <c r="B45" s="2" t="s">
        <v>19</v>
      </c>
      <c r="C45" s="4">
        <f t="shared" ca="1" si="15"/>
        <v>1.6199999999999999E-2</v>
      </c>
      <c r="D45" s="4">
        <f t="shared" ca="1" si="16"/>
        <v>0.16648923076923078</v>
      </c>
      <c r="E45" s="4">
        <f t="shared" ca="1" si="18"/>
        <v>6.0541538461538459E-2</v>
      </c>
      <c r="F45" s="4">
        <f t="shared" ref="F45:F53" ca="1" si="20">(AA45-MIN($Y45:$AJ45))/$AL45</f>
        <v>0.13621846153846154</v>
      </c>
      <c r="G45" s="5"/>
      <c r="H45" s="4">
        <f t="shared" ref="H45:O45" ca="1" si="21">(AC45-MIN($Y45:$AJ45))/$AL45</f>
        <v>4.5406153846153846E-2</v>
      </c>
      <c r="I45" s="4">
        <f t="shared" ca="1" si="21"/>
        <v>0.18162461538461538</v>
      </c>
      <c r="J45" s="4">
        <f t="shared" ca="1" si="21"/>
        <v>7.5676923076923072E-2</v>
      </c>
      <c r="K45" s="4">
        <f t="shared" ca="1" si="21"/>
        <v>6.0541538461538459E-2</v>
      </c>
      <c r="L45" s="4">
        <f t="shared" ca="1" si="21"/>
        <v>7.5676923076923072E-2</v>
      </c>
      <c r="M45" s="4">
        <f t="shared" ca="1" si="21"/>
        <v>7.5676923076923072E-2</v>
      </c>
      <c r="N45" s="4">
        <f t="shared" ca="1" si="21"/>
        <v>0.10594769230769231</v>
      </c>
      <c r="O45" s="4">
        <f t="shared" ca="1" si="21"/>
        <v>0</v>
      </c>
      <c r="P45" s="8"/>
      <c r="S45" s="28"/>
      <c r="T45" s="28"/>
      <c r="W45" s="99"/>
      <c r="X45" s="99" t="s">
        <v>19</v>
      </c>
      <c r="Y45" s="85">
        <f>T$24*$D$66+T$27+T$29+T$31+T$35</f>
        <v>6</v>
      </c>
      <c r="Z45" s="85">
        <f>T$24*$E$66+T$29+T$31</f>
        <v>-1</v>
      </c>
      <c r="AA45" s="85">
        <f>T$24*$F$66+T$27+T$28+T$31+T$39+T$42+T$43</f>
        <v>4</v>
      </c>
      <c r="AB45" s="142"/>
      <c r="AC45" s="85">
        <f>T$24*$H$66+T$26+T$28+T$31+T$34</f>
        <v>-2</v>
      </c>
      <c r="AD45" s="85">
        <f>T$24*$I$66+T$27+T$29+T$31+T$37+T$41</f>
        <v>7</v>
      </c>
      <c r="AE45" s="85">
        <f>T$24*$J$66+T$29+T$31</f>
        <v>0</v>
      </c>
      <c r="AF45" s="85">
        <f>T$24*$K$66+T$29+T$31</f>
        <v>-1</v>
      </c>
      <c r="AG45" s="85">
        <f>T$24*$L$66+T$29+T$31</f>
        <v>0</v>
      </c>
      <c r="AH45" s="85">
        <f>T$24*$M$66+T$28+T$31+T$41</f>
        <v>0</v>
      </c>
      <c r="AI45" s="85">
        <f>T$24*$N$66+T$29+T$31+T$35</f>
        <v>2</v>
      </c>
      <c r="AJ45" s="85">
        <f>T$24*$O$66+T$28+T$31+T$41</f>
        <v>-5</v>
      </c>
      <c r="AK45" s="99"/>
      <c r="AL45" s="99">
        <f ca="1">SUM(Y45-MIN(Y45:AJ45),Z45-MIN(Y45:AJ45),AA45-MIN(Y45:AJ45),AC45-MIN(Y45:AJ45),AD45-MIN(Y45:AJ45),AE45-MIN(Y45:AJ45),AF45-MIN(Y45:AJ45),AG45-MIN(Y45:AJ45),AH45-MIN(Y45:AJ45),AI45-MIN(Y45:AJ45),AJ45-MIN(Y45:AJ45))+(C45*SUM(Y45-MIN(Y45:AJ45),Z45-MIN(Y45:AJ45),AA45-MIN(Y45:AJ45),AC45-MIN(Y45:AJ45),AD45-MIN(Y45:AJ45),AE45-MIN(Y45:AJ45),AF45-MIN(Y45:AJ45),AG45-MIN(Y45:AJ45),AH45-MIN(Y45:AJ45),AI45-MIN(Y45:AJ45),AJ45-MIN(Y45:AJ45)))/(1-C45)</f>
        <v>66.070339499898353</v>
      </c>
    </row>
    <row r="46" spans="1:51" x14ac:dyDescent="0.25">
      <c r="A46" s="8"/>
      <c r="B46" s="2" t="s">
        <v>20</v>
      </c>
      <c r="C46" s="4">
        <f t="shared" ca="1" si="15"/>
        <v>1.29E-2</v>
      </c>
      <c r="D46" s="4">
        <f t="shared" ca="1" si="16"/>
        <v>0.17355604395604393</v>
      </c>
      <c r="E46" s="4">
        <f t="shared" ca="1" si="18"/>
        <v>7.5930769230769232E-2</v>
      </c>
      <c r="F46" s="4">
        <f t="shared" ca="1" si="20"/>
        <v>0.15186153846153846</v>
      </c>
      <c r="G46" s="4">
        <f t="shared" ref="G46:G53" ca="1" si="22">(AB46-MIN($Y46:$AJ46))/$AL46</f>
        <v>4.3389010989010983E-2</v>
      </c>
      <c r="H46" s="5"/>
      <c r="I46" s="4">
        <f t="shared" ref="I46:O46" ca="1" si="23">(AD46-MIN($Y46:$AJ46))/$AL46</f>
        <v>0.1410142857142857</v>
      </c>
      <c r="J46" s="4">
        <f t="shared" ca="1" si="23"/>
        <v>6.5083516483516485E-2</v>
      </c>
      <c r="K46" s="4">
        <f t="shared" ca="1" si="23"/>
        <v>0.10847252747252746</v>
      </c>
      <c r="L46" s="4">
        <f t="shared" ca="1" si="23"/>
        <v>7.5930769230769232E-2</v>
      </c>
      <c r="M46" s="4">
        <f t="shared" ca="1" si="23"/>
        <v>4.3389010989010983E-2</v>
      </c>
      <c r="N46" s="4">
        <f t="shared" ca="1" si="23"/>
        <v>0.10847252747252746</v>
      </c>
      <c r="O46" s="4">
        <f t="shared" ca="1" si="23"/>
        <v>0</v>
      </c>
      <c r="P46" s="8"/>
      <c r="S46" s="28"/>
      <c r="T46" s="28"/>
      <c r="W46" s="99"/>
      <c r="X46" s="99" t="s">
        <v>20</v>
      </c>
      <c r="Y46" s="85">
        <f>T$24*$D$67+T$26+T$27+T$29+T$31+T$36</f>
        <v>8</v>
      </c>
      <c r="Z46" s="85">
        <f>T$24*$E$67+T$29+T$31</f>
        <v>-1</v>
      </c>
      <c r="AA46" s="85">
        <f>T$24*$F$67+T$26+T$28+T$31+T$33+T$38+T$39+T$42+T$43</f>
        <v>6</v>
      </c>
      <c r="AB46" s="85">
        <f>T$24*$G$67+T$26+T$28+T$31</f>
        <v>-4</v>
      </c>
      <c r="AC46" s="142"/>
      <c r="AD46" s="85">
        <f>T$24*$I$67+T$29+T$31+T$36+T$37+T$38+T$41</f>
        <v>5</v>
      </c>
      <c r="AE46" s="85">
        <f>T$24*$J$67+T$26+T$29+T$31+T$38</f>
        <v>-2</v>
      </c>
      <c r="AF46" s="85">
        <f>T$24*$K$67+T$26+T$29+T$31</f>
        <v>2</v>
      </c>
      <c r="AG46" s="85">
        <f>T$24*$L$67+T$29+T$31</f>
        <v>-1</v>
      </c>
      <c r="AH46" s="85">
        <f>T$24*$M$67+T$28+T$31+T$41</f>
        <v>-4</v>
      </c>
      <c r="AI46" s="85">
        <f>T$24*$N$67+T$26+T$29+T$31+T$36</f>
        <v>2</v>
      </c>
      <c r="AJ46" s="85">
        <f>T$24*$O$67+T$28+T$31+T$41</f>
        <v>-8</v>
      </c>
      <c r="AK46" s="99"/>
      <c r="AL46" s="99">
        <f ca="1">SUM(Y46-MIN(Y46:AJ46),Z46-MIN(Y46:AJ46),AA46-MIN(Y46:AJ46),AB46-MIN(Y46:AJ46),AD46-MIN(Y46:AJ46),AE46-MIN(Y46:AJ46),AF46-MIN(Y46:AJ46),AG46-MIN(Y46:AJ46),AH46-MIN(Y46:AJ46),AI46-MIN(Y46:AJ46),AJ46-MIN(Y46:AJ46))+(C46*SUM(Y46-MIN(Y46:AJ46),Z46-MIN(Y46:AJ46),AA46-MIN(Y46:AJ46),AB46-MIN(Y46:AJ46),AD46-MIN(Y46:AJ46),AE46-MIN(Y46:AJ46),AF46-MIN(Y46:AJ46),AG46-MIN(Y46:AJ46),AH46-MIN(Y46:AJ46),AI46-MIN(Y46:AJ46),AJ46-MIN(Y46:AJ46)))/(1-C46)</f>
        <v>92.189241211630033</v>
      </c>
    </row>
    <row r="47" spans="1:51" x14ac:dyDescent="0.25">
      <c r="A47" s="8"/>
      <c r="B47" s="2" t="s">
        <v>21</v>
      </c>
      <c r="C47" s="4">
        <f t="shared" ca="1" si="15"/>
        <v>1.1900000000000001E-2</v>
      </c>
      <c r="D47" s="4">
        <f t="shared" ca="1" si="16"/>
        <v>0.13868070175438596</v>
      </c>
      <c r="E47" s="4">
        <f t="shared" ca="1" si="18"/>
        <v>5.2005263157894735E-2</v>
      </c>
      <c r="F47" s="4">
        <f t="shared" ca="1" si="20"/>
        <v>0.12134561403508771</v>
      </c>
      <c r="G47" s="4">
        <f t="shared" ca="1" si="22"/>
        <v>8.6675438596491225E-2</v>
      </c>
      <c r="H47" s="4">
        <f t="shared" ref="H47:H53" ca="1" si="24">(AC47-MIN($Y47:$AJ47))/$AL47</f>
        <v>5.2005263157894735E-2</v>
      </c>
      <c r="I47" s="5"/>
      <c r="J47" s="4">
        <f t="shared" ref="J47:O47" ca="1" si="25">(AE47-MIN($Y47:$AJ47))/$AL47</f>
        <v>0.17335087719298245</v>
      </c>
      <c r="K47" s="4">
        <f t="shared" ca="1" si="25"/>
        <v>8.6675438596491225E-2</v>
      </c>
      <c r="L47" s="4">
        <f t="shared" ca="1" si="25"/>
        <v>0.12134561403508771</v>
      </c>
      <c r="M47" s="4">
        <f t="shared" ca="1" si="25"/>
        <v>0</v>
      </c>
      <c r="N47" s="4">
        <f t="shared" ca="1" si="25"/>
        <v>0.13868070175438596</v>
      </c>
      <c r="O47" s="4">
        <f t="shared" ca="1" si="25"/>
        <v>1.7335087719298245E-2</v>
      </c>
      <c r="P47" s="8"/>
      <c r="S47" s="28"/>
      <c r="T47" s="28"/>
      <c r="W47" s="99"/>
      <c r="X47" s="99" t="s">
        <v>21</v>
      </c>
      <c r="Y47" s="85">
        <f>T$24*$D$68+T$26+T$31+T$36</f>
        <v>4</v>
      </c>
      <c r="Z47" s="85">
        <f>T$24*$E$68+T$31</f>
        <v>-1</v>
      </c>
      <c r="AA47" s="85">
        <f>T$24*$F$68+T$26+T$31+T$38+T$39+T$42+T$43</f>
        <v>3</v>
      </c>
      <c r="AB47" s="85">
        <f>T$24*$G$68+T$27+T$31</f>
        <v>1</v>
      </c>
      <c r="AC47" s="85">
        <f>T$24*$H$68+T$31+T$36+T$38</f>
        <v>-1</v>
      </c>
      <c r="AD47" s="142"/>
      <c r="AE47" s="85">
        <f>T$24*$J$68+T$26*3+T$31+T$38</f>
        <v>6</v>
      </c>
      <c r="AF47" s="85">
        <f>T$24*$K$68+T$27+T$31</f>
        <v>1</v>
      </c>
      <c r="AG47" s="85">
        <f>T$24*$L$68+T$26+T$27+T$31</f>
        <v>3</v>
      </c>
      <c r="AH47" s="85">
        <f>T$24*$M$68+T$31+T$41</f>
        <v>-4</v>
      </c>
      <c r="AI47" s="85">
        <f>T$24*$N$68+T$26*2+T$28+T$31+T$36</f>
        <v>4</v>
      </c>
      <c r="AJ47" s="85">
        <f>T$24*$O$68+T$31+T$41</f>
        <v>-3</v>
      </c>
      <c r="AK47" s="99"/>
      <c r="AL47" s="99">
        <f ca="1">SUM(Y47-MIN(Y47:AJ47),Z47-MIN(Y47:AJ47),AA47-MIN(Y47:AJ47),AB47-MIN(Y47:AJ47),AC47-MIN(Y47:AJ47),AE47-MIN(Y47:AJ47),AF47-MIN(Y47:AJ47),AG47-MIN(Y47:AJ47),AH47-MIN(Y47:AJ47),AI47-MIN(Y47:AJ47),AJ47-MIN(Y47:AJ47))+(C47*SUM(Y47-MIN(Y47:AJ47),Z47-MIN(Y47:AJ47),AA47-MIN(Y47:AJ47),AB47-MIN(Y47:AJ47),AC47-MIN(Y47:AJ47),AE47-MIN(Y47:AJ47),AF47-MIN(Y47:AJ47),AG47-MIN(Y47:AJ47),AH47-MIN(Y47:AJ47),AI47-MIN(Y47:AJ47),AJ47-MIN(Y47:AJ47)))/(1-C47)</f>
        <v>57.686468980872384</v>
      </c>
    </row>
    <row r="48" spans="1:51" x14ac:dyDescent="0.25">
      <c r="A48" s="8"/>
      <c r="B48" s="2" t="s">
        <v>22</v>
      </c>
      <c r="C48" s="4">
        <f t="shared" ca="1" si="15"/>
        <v>1.52E-2</v>
      </c>
      <c r="D48" s="4">
        <f t="shared" ca="1" si="16"/>
        <v>0.10014915254237289</v>
      </c>
      <c r="E48" s="4">
        <f t="shared" ca="1" si="18"/>
        <v>0</v>
      </c>
      <c r="F48" s="4">
        <f t="shared" ca="1" si="20"/>
        <v>0.16691525423728815</v>
      </c>
      <c r="G48" s="4">
        <f t="shared" ca="1" si="22"/>
        <v>7.5111864406779666E-2</v>
      </c>
      <c r="H48" s="4">
        <f t="shared" ca="1" si="24"/>
        <v>7.5111864406779666E-2</v>
      </c>
      <c r="I48" s="4">
        <f t="shared" ref="I48:I53" ca="1" si="26">(AD48-MIN($Y48:$AJ48))/$AL48</f>
        <v>0.18360677966101696</v>
      </c>
      <c r="J48" s="5"/>
      <c r="K48" s="4">
        <f ca="1">(AF48-MIN($Y48:$AJ48))/$AL48</f>
        <v>8.3457627118644073E-2</v>
      </c>
      <c r="L48" s="4">
        <f ca="1">(AG48-MIN($Y48:$AJ48))/$AL48</f>
        <v>1.6691525423728815E-2</v>
      </c>
      <c r="M48" s="4">
        <f ca="1">(AH48-MIN($Y48:$AJ48))/$AL48</f>
        <v>0.1084949152542373</v>
      </c>
      <c r="N48" s="4">
        <f ca="1">(AI48-MIN($Y48:$AJ48))/$AL48</f>
        <v>6.6766101694915259E-2</v>
      </c>
      <c r="O48" s="4">
        <f ca="1">(AJ48-MIN($Y48:$AJ48))/$AL48</f>
        <v>0.1084949152542373</v>
      </c>
      <c r="P48" s="8"/>
      <c r="S48" s="28"/>
      <c r="T48" s="28"/>
      <c r="W48" s="99"/>
      <c r="X48" s="99" t="s">
        <v>22</v>
      </c>
      <c r="Y48" s="85">
        <f>T$24*$D$69+T$27+T$28+T$31+T$34</f>
        <v>3</v>
      </c>
      <c r="Z48" s="85">
        <f>T$24*$E$69+T$28+T$30</f>
        <v>-9</v>
      </c>
      <c r="AA48" s="85">
        <f>T$24*$F$69+T$26*2+T$29+T$31+T$33+T$38+T$39+T$42+T$43</f>
        <v>11</v>
      </c>
      <c r="AB48" s="85">
        <f>T$24*$G$69+T$29+T$31</f>
        <v>0</v>
      </c>
      <c r="AC48" s="85">
        <f>T$24*$H$69+T$26+T$29+T$31+T$35+T$38</f>
        <v>0</v>
      </c>
      <c r="AD48" s="85">
        <f>T$24*$I$69+T$26*3+T$27+T$29+T$31+T$37+T$38+T$41</f>
        <v>13</v>
      </c>
      <c r="AE48" s="142"/>
      <c r="AF48" s="85">
        <f>T$24*$K$69+T$26*2+T$28+T$31</f>
        <v>1</v>
      </c>
      <c r="AG48" s="85">
        <f>T$24*$L$69+T$28+T$31</f>
        <v>-7</v>
      </c>
      <c r="AH48" s="85">
        <f>T$24*$M$69+T$26+T$29+T$31+T$41</f>
        <v>4</v>
      </c>
      <c r="AI48" s="85">
        <f>T$24*$N$69+T$26+T$31+T$34</f>
        <v>-1</v>
      </c>
      <c r="AJ48" s="85">
        <f>T$24*$O$69+T$26+T$29+T$31+T$41</f>
        <v>4</v>
      </c>
      <c r="AK48" s="99"/>
      <c r="AL48" s="99">
        <f ca="1">SUM(Y48-MIN(Y48:AJ48),Z48-MIN(Y48:AJ48),AA48-MIN(Y48:AJ48),AB48-MIN(Y48:AJ48),AC48-MIN(Y48:AJ48),AD48-MIN(Y48:AJ48),AF48-MIN(Y48:AJ48),AG48-MIN(Y48:AJ48),AH48-MIN(Y48:AJ48),AI48-MIN(Y48:AJ48),AJ48-MIN(Y48:AJ48))+(C48*SUM(Y48-MIN(Y48:AJ48),Z48-MIN(Y48:AJ48),AA48-MIN(Y48:AJ48),AB48-MIN(Y48:AJ48),AC48-MIN(Y48:AJ48),AD48-MIN(Y48:AJ48),AF48-MIN(Y48:AJ48),AG48-MIN(Y48:AJ48),AH48-MIN(Y48:AJ48),AI48-MIN(Y48:AJ48),AJ48-MIN(Y48:AJ48)))/(1-C48)</f>
        <v>119.821283509342</v>
      </c>
    </row>
    <row r="49" spans="1:38" x14ac:dyDescent="0.25">
      <c r="A49" s="8"/>
      <c r="B49" s="2" t="s">
        <v>23</v>
      </c>
      <c r="C49" s="4">
        <f t="shared" ca="1" si="15"/>
        <v>1.2999999999999999E-2</v>
      </c>
      <c r="D49" s="4">
        <f t="shared" ca="1" si="16"/>
        <v>9.7309859154929568E-2</v>
      </c>
      <c r="E49" s="4">
        <f t="shared" ca="1" si="18"/>
        <v>2.7802816901408449E-2</v>
      </c>
      <c r="F49" s="4">
        <f t="shared" ca="1" si="20"/>
        <v>0.18071830985915494</v>
      </c>
      <c r="G49" s="4">
        <f t="shared" ca="1" si="22"/>
        <v>4.1704225352112677E-2</v>
      </c>
      <c r="H49" s="4">
        <f t="shared" ca="1" si="24"/>
        <v>0.1112112676056338</v>
      </c>
      <c r="I49" s="4">
        <f t="shared" ca="1" si="26"/>
        <v>0.15291549295774648</v>
      </c>
      <c r="J49" s="4">
        <f ca="1">(AE49-MIN($Y49:$AJ49))/$AL49</f>
        <v>6.9507042253521126E-2</v>
      </c>
      <c r="K49" s="5"/>
      <c r="L49" s="4">
        <f ca="1">(AG49-MIN($Y49:$AJ49))/$AL49</f>
        <v>0</v>
      </c>
      <c r="M49" s="4">
        <f ca="1">(AH49-MIN($Y49:$AJ49))/$AL49</f>
        <v>0.12511267605633802</v>
      </c>
      <c r="N49" s="4">
        <f ca="1">(AI49-MIN($Y49:$AJ49))/$AL49</f>
        <v>9.7309859154929568E-2</v>
      </c>
      <c r="O49" s="4">
        <f ca="1">(AJ49-MIN($Y49:$AJ49))/$AL49</f>
        <v>8.3408450704225354E-2</v>
      </c>
      <c r="P49" s="8"/>
      <c r="S49" s="28"/>
      <c r="T49" s="28"/>
      <c r="W49" s="99"/>
      <c r="X49" s="99" t="s">
        <v>23</v>
      </c>
      <c r="Y49" s="85">
        <f>T$24*$D$70+T$27+T$28+T$31+T$34</f>
        <v>3</v>
      </c>
      <c r="Z49" s="85">
        <f>T$24*$E$70+T$25+T$26+T$28+T$31</f>
        <v>-2</v>
      </c>
      <c r="AA49" s="85">
        <f>T$24*$F$70+T$26+T$27+T$29+T$31+T$39+T$42+T$43</f>
        <v>9</v>
      </c>
      <c r="AB49" s="85">
        <f>T$24*$G$70+T$29+T$31</f>
        <v>-1</v>
      </c>
      <c r="AC49" s="85">
        <f>T$24*$H$70+T$26+T$29+T$31+T$35</f>
        <v>4</v>
      </c>
      <c r="AD49" s="85">
        <f>T$24*$I$70+T$27+T$29+T$31+T$37+T$41</f>
        <v>7</v>
      </c>
      <c r="AE49" s="85">
        <f>T$24*$J$70+T$26*2+T$28+T$31</f>
        <v>1</v>
      </c>
      <c r="AF49" s="142"/>
      <c r="AG49" s="85">
        <f>T$24*$L$70+T$25+T$31</f>
        <v>-4</v>
      </c>
      <c r="AH49" s="85">
        <f>T$24*$M$70+T$27+T$29+T$31+T$41</f>
        <v>5</v>
      </c>
      <c r="AI49" s="85">
        <f>T$24*$N$70+T$26+T$31+T$34</f>
        <v>3</v>
      </c>
      <c r="AJ49" s="85">
        <f>T$24*$O$70+T$29+T$31+T$41</f>
        <v>2</v>
      </c>
      <c r="AK49" s="99"/>
      <c r="AL49" s="99">
        <f ca="1">SUM(Y49-MIN(Y49:AJ49),Z49-MIN(Y49:AJ49),AA49-MIN(Y49:AJ49),AB49-MIN(Y49:AJ49),AC49-MIN(Y49:AJ49),AD49-MIN(Y49:AJ49),AE49-MIN(Y49:AJ49),AG49-MIN(Y49:AJ49),AH49-MIN(Y49:AJ49),AI49-MIN(Y49:AJ49),AJ49-MIN(Y49:AJ49))+(C49*SUM(Y49-MIN(Y49:AJ49),Z49-MIN(Y49:AJ49),AA49-MIN(Y49:AJ49),AB49-MIN(Y49:AJ49),AC49-MIN(Y49:AJ49),AD49-MIN(Y49:AJ49),AE49-MIN(Y49:AJ49),AG49-MIN(Y49:AJ49),AH49-MIN(Y49:AJ49),AI49-MIN(Y49:AJ49),AJ49-MIN(Y49:AJ49)))/(1-C49)</f>
        <v>71.935157041540023</v>
      </c>
    </row>
    <row r="50" spans="1:38" x14ac:dyDescent="0.25">
      <c r="A50" s="8"/>
      <c r="B50" s="2" t="s">
        <v>24</v>
      </c>
      <c r="C50" s="4">
        <f t="shared" ca="1" si="15"/>
        <v>1.6899999999999998E-2</v>
      </c>
      <c r="D50" s="4">
        <f t="shared" ca="1" si="16"/>
        <v>0.12444303797468355</v>
      </c>
      <c r="E50" s="4">
        <f t="shared" ca="1" si="18"/>
        <v>1.2444303797468354E-2</v>
      </c>
      <c r="F50" s="4">
        <f t="shared" ca="1" si="20"/>
        <v>0.13688734177215189</v>
      </c>
      <c r="G50" s="4">
        <f t="shared" ca="1" si="22"/>
        <v>8.7110126582278485E-2</v>
      </c>
      <c r="H50" s="4">
        <f t="shared" ca="1" si="24"/>
        <v>9.9554430379746831E-2</v>
      </c>
      <c r="I50" s="4">
        <f t="shared" ca="1" si="26"/>
        <v>0.19910886075949366</v>
      </c>
      <c r="J50" s="4">
        <f ca="1">(AE50-MIN($Y50:$AJ50))/$AL50</f>
        <v>0</v>
      </c>
      <c r="K50" s="4">
        <f ca="1">(AF50-MIN($Y50:$AJ50))/$AL50</f>
        <v>2.4888607594936708E-2</v>
      </c>
      <c r="L50" s="5"/>
      <c r="M50" s="4">
        <f ca="1">(AH50-MIN($Y50:$AJ50))/$AL50</f>
        <v>0.11199873417721519</v>
      </c>
      <c r="N50" s="4">
        <f ca="1">(AI50-MIN($Y50:$AJ50))/$AL50</f>
        <v>6.2221518987341774E-2</v>
      </c>
      <c r="O50" s="4">
        <f ca="1">(AJ50-MIN($Y50:$AJ50))/$AL50</f>
        <v>0.12444303797468355</v>
      </c>
      <c r="P50" s="8"/>
      <c r="S50" s="28"/>
      <c r="T50" s="28"/>
      <c r="W50" s="99"/>
      <c r="X50" s="99" t="s">
        <v>24</v>
      </c>
      <c r="Y50" s="85">
        <f>T$24*$D$71+T$27+T$28+T$31+T$34</f>
        <v>3</v>
      </c>
      <c r="Z50" s="85">
        <f>T$24*$E$71+T$28+T$31</f>
        <v>-6</v>
      </c>
      <c r="AA50" s="85">
        <f>T$24*$F$71+T$29+T$31+T$39+T$42+T$43</f>
        <v>4</v>
      </c>
      <c r="AB50" s="85">
        <f>T$24*$G$71+T$29+T$31</f>
        <v>0</v>
      </c>
      <c r="AC50" s="85">
        <f>T$24*$H$71+T$29+T$31+T$35</f>
        <v>1</v>
      </c>
      <c r="AD50" s="85">
        <f>T$24*$I$71+T$26+T$27+T$29+T$31+T$37+T$41</f>
        <v>9</v>
      </c>
      <c r="AE50" s="85">
        <f>T$24*$J$71+T$28+T$31</f>
        <v>-7</v>
      </c>
      <c r="AF50" s="85">
        <f>T$24*$K$71+T$25+T$28+T$31</f>
        <v>-5</v>
      </c>
      <c r="AG50" s="142"/>
      <c r="AH50" s="85">
        <f>T$24*$M$71+T$29+T$31+T$41</f>
        <v>2</v>
      </c>
      <c r="AI50" s="85">
        <f>T$24*$N$71+T$28+T$31+T$34</f>
        <v>-2</v>
      </c>
      <c r="AJ50" s="85">
        <f>T$24*$O$71+T$29+T$31+T$41</f>
        <v>3</v>
      </c>
      <c r="AK50" s="99"/>
      <c r="AL50" s="99">
        <f ca="1">SUM(Y50-MIN(Y50:AJ50),Z50-MIN(Y50:AJ50),AA50-MIN(Y50:AJ50),AB50-MIN(Y50:AJ50),AC50-MIN(Y50:AJ50),AD50-MIN(Y50:AJ50),AE50-MIN(Y50:AJ50),AF50-MIN(Y50:AJ50),AH50-MIN(Y50:AJ50),AI50-MIN(Y50:AJ50),AJ50-MIN(Y50:AJ50))+(C50*SUM(Y50-MIN(Y50:AJ50),Z50-MIN(Y50:AJ50),AA50-MIN(Y50:AJ50),AB50-MIN(Y50:AJ50),AC50-MIN(Y50:AJ50),AD50-MIN(Y50:AJ50),AE50-MIN(Y50:AJ50),AF50-MIN(Y50:AJ50),AH50-MIN(Y50:AJ50),AI50-MIN(Y50:AJ50),AJ50-MIN(Y50:AJ50)))/(1-C50)</f>
        <v>80.358051062964094</v>
      </c>
    </row>
    <row r="51" spans="1:38" x14ac:dyDescent="0.25">
      <c r="A51" s="8"/>
      <c r="B51" s="2" t="s">
        <v>25</v>
      </c>
      <c r="C51" s="4">
        <f t="shared" ca="1" si="15"/>
        <v>1.4500000000000001E-2</v>
      </c>
      <c r="D51" s="4">
        <f t="shared" ca="1" si="16"/>
        <v>0.20531250000000001</v>
      </c>
      <c r="E51" s="4">
        <f t="shared" ca="1" si="18"/>
        <v>6.1593750000000003E-2</v>
      </c>
      <c r="F51" s="4">
        <f t="shared" ca="1" si="20"/>
        <v>6.1593750000000003E-2</v>
      </c>
      <c r="G51" s="4">
        <f t="shared" ca="1" si="22"/>
        <v>4.1062500000000002E-2</v>
      </c>
      <c r="H51" s="4">
        <f t="shared" ca="1" si="24"/>
        <v>0</v>
      </c>
      <c r="I51" s="4">
        <f t="shared" ca="1" si="26"/>
        <v>8.2125000000000004E-2</v>
      </c>
      <c r="J51" s="4">
        <f ca="1">(AE51-MIN($Y51:$AJ51))/$AL51</f>
        <v>0.12318750000000001</v>
      </c>
      <c r="K51" s="4">
        <f ca="1">(AF51-MIN($Y51:$AJ51))/$AL51</f>
        <v>0.14371875000000001</v>
      </c>
      <c r="L51" s="4">
        <f ca="1">(AG51-MIN($Y51:$AJ51))/$AL51</f>
        <v>8.2125000000000004E-2</v>
      </c>
      <c r="M51" s="5"/>
      <c r="N51" s="4">
        <f ca="1">(AI51-MIN($Y51:$AJ51))/$AL51</f>
        <v>0.18478125000000001</v>
      </c>
      <c r="O51" s="4">
        <f ca="1">(AJ51-MIN($Y51:$AJ51))/$AL51</f>
        <v>0</v>
      </c>
      <c r="P51" s="8"/>
      <c r="S51" s="28"/>
      <c r="T51" s="28"/>
      <c r="W51" s="99"/>
      <c r="X51" s="99" t="s">
        <v>25</v>
      </c>
      <c r="Y51" s="85">
        <f>T$24*$D$72+T$27+T$29+T$31+T$35</f>
        <v>6</v>
      </c>
      <c r="Z51" s="85">
        <f>T$24*$E$72+T$29+T$31</f>
        <v>-1</v>
      </c>
      <c r="AA51" s="85">
        <f>T$24*$F$72+T$28+T$31+T$39+T$42+T$43</f>
        <v>-1</v>
      </c>
      <c r="AB51" s="85">
        <f>T$24*$G$72+T$28+T$31</f>
        <v>-2</v>
      </c>
      <c r="AC51" s="85">
        <f>T$24*$H$72+T$28+T$31+T$34</f>
        <v>-4</v>
      </c>
      <c r="AD51" s="85">
        <f>T$24*$I$72+T$29+T$31+T$37+T$41</f>
        <v>0</v>
      </c>
      <c r="AE51" s="85">
        <f>T$24*$J$72+T$26+T$29+T$31</f>
        <v>2</v>
      </c>
      <c r="AF51" s="85">
        <f>T$24*$K$72+T$27+T$29+T$31</f>
        <v>3</v>
      </c>
      <c r="AG51" s="85">
        <f>T$24*$L$72+T$29+T$31</f>
        <v>0</v>
      </c>
      <c r="AH51" s="142"/>
      <c r="AI51" s="85">
        <f>T$24*$N$72+T$26+T$29+T$31+T$35</f>
        <v>5</v>
      </c>
      <c r="AJ51" s="85">
        <f>T$24*$O$72+T$28+T$31+T$41</f>
        <v>-4</v>
      </c>
      <c r="AK51" s="99"/>
      <c r="AL51" s="99">
        <f ca="1">SUM(Y51-MIN(Y51:AJ51),Z51-MIN(Y51:AJ51),AA51-MIN(Y51:AJ51),AB51-MIN(Y51:AJ51),AC51-MIN(Y51:AJ51),AD51-MIN(Y51:AJ51),AE51-MIN(Y51:AJ51),AF51-MIN(Y51:AJ51),AG51-MIN(Y51:AJ51),AI51-MIN(Y51:AJ51),AJ51-MIN(Y51:AJ51))+(C51*SUM(Y51-MIN(Y51:AJ51),Z51-MIN(Y51:AJ51),AA51-MIN(Y51:AJ51),AB51-MIN(Y51:AJ51),AC51-MIN(Y51:AJ51),AD51-MIN(Y51:AJ51),AE51-MIN(Y51:AJ51),AF51-MIN(Y51:AJ51),AG51-MIN(Y51:AJ51),AI51-MIN(Y51:AJ51),AJ51-MIN(Y51:AJ51)))/(1-C51)</f>
        <v>48.706240487062402</v>
      </c>
    </row>
    <row r="52" spans="1:38" x14ac:dyDescent="0.25">
      <c r="A52" s="8"/>
      <c r="B52" s="2" t="s">
        <v>26</v>
      </c>
      <c r="C52" s="4">
        <f t="shared" ca="1" si="15"/>
        <v>1.8700000000000001E-2</v>
      </c>
      <c r="D52" s="4">
        <f t="shared" ca="1" si="16"/>
        <v>5.9472727272727274E-2</v>
      </c>
      <c r="E52" s="4">
        <f t="shared" ca="1" si="18"/>
        <v>0</v>
      </c>
      <c r="F52" s="4">
        <f t="shared" ca="1" si="20"/>
        <v>0.17841818181818184</v>
      </c>
      <c r="G52" s="4">
        <f t="shared" ca="1" si="22"/>
        <v>6.9384848484848494E-2</v>
      </c>
      <c r="H52" s="4">
        <f t="shared" ca="1" si="24"/>
        <v>0.10903333333333334</v>
      </c>
      <c r="I52" s="4">
        <f t="shared" ca="1" si="26"/>
        <v>0.20815454545454545</v>
      </c>
      <c r="J52" s="4">
        <f ca="1">(AE52-MIN($Y52:$AJ52))/$AL52</f>
        <v>2.9736363636363637E-2</v>
      </c>
      <c r="K52" s="4">
        <f ca="1">(AF52-MIN($Y52:$AJ52))/$AL52</f>
        <v>6.9384848484848494E-2</v>
      </c>
      <c r="L52" s="4">
        <f ca="1">(AG52-MIN($Y52:$AJ52))/$AL52</f>
        <v>2.9736363636363637E-2</v>
      </c>
      <c r="M52" s="4">
        <f ca="1">(AH52-MIN($Y52:$AJ52))/$AL52</f>
        <v>0.13876969696969699</v>
      </c>
      <c r="N52" s="5"/>
      <c r="O52" s="4">
        <f ca="1">(AJ52-MIN($Y52:$AJ52))/$AL52</f>
        <v>8.9209090909090918E-2</v>
      </c>
      <c r="P52" s="8"/>
      <c r="S52" s="28"/>
      <c r="T52" s="28"/>
      <c r="W52" s="99"/>
      <c r="X52" s="99" t="s">
        <v>26</v>
      </c>
      <c r="Y52" s="85">
        <f>T$24*$D$73+T$25+T$28+T$30+T$34+T$36</f>
        <v>-1</v>
      </c>
      <c r="Z52" s="85">
        <f>T$24*$E$73+T$28+T$31</f>
        <v>-7</v>
      </c>
      <c r="AA52" s="85">
        <f>T$24*$F$73+T$26+T$27+T$29+T$31+T$33+T$39+T$42+T$43</f>
        <v>11</v>
      </c>
      <c r="AB52" s="85">
        <f>T$24*$G$73+T$29+T$31</f>
        <v>0</v>
      </c>
      <c r="AC52" s="85">
        <f>T$24*$H$73+T$26+T$29+T$31+T$33+T$36</f>
        <v>4</v>
      </c>
      <c r="AD52" s="85">
        <f>T$24*$I$73+T$26*2+T$27+T$29+T$31+T$33+T$36+T$37+T$41</f>
        <v>14</v>
      </c>
      <c r="AE52" s="85">
        <f>T$24*$J$73+T$26+T$28+T$31</f>
        <v>-4</v>
      </c>
      <c r="AF52" s="85">
        <f>T$24*$K$73+T$26+T$28+T$31</f>
        <v>0</v>
      </c>
      <c r="AG52" s="85">
        <f>T$24*$L$73+T$28+T$31</f>
        <v>-4</v>
      </c>
      <c r="AH52" s="85">
        <f>T$24*$M$73+T$26+T$29+T$31+T$33+T$41</f>
        <v>7</v>
      </c>
      <c r="AI52" s="142"/>
      <c r="AJ52" s="85">
        <f>T$24*$O$73+T$29+T$31+T$41</f>
        <v>2</v>
      </c>
      <c r="AK52" s="99"/>
      <c r="AL52" s="99">
        <f ca="1">SUM(Y52-MIN(Y52:AJ52),Z52-MIN(Y52:AJ52),AA52-MIN(Y52:AJ52),AB52-MIN(Y52:AJ52),AC52-MIN(Y52:AJ52),AD52-MIN(Y52:AJ52),AE52-MIN(Y52:AJ52),AF52-MIN(Y52:AJ52),AG52-MIN(Y52:AJ52),AH52-MIN(Y52:AJ52),AJ52-MIN(Y52:AJ52))+(C52*SUM(Y52-MIN(Y52:AJ52),Z52-MIN(Y52:AJ52),AA52-MIN(Y52:AJ52),AB52-MIN(Y52:AJ52),AC52-MIN(Y52:AJ52),AD52-MIN(Y52:AJ52),AE52-MIN(Y52:AJ52),AF52-MIN(Y52:AJ52),AG52-MIN(Y52:AJ52),AH52-MIN(Y52:AJ52),AJ52-MIN(Y52:AJ52)))/(1-C52)</f>
        <v>100.88657902782023</v>
      </c>
    </row>
    <row r="53" spans="1:38" x14ac:dyDescent="0.25">
      <c r="A53" s="8"/>
      <c r="B53" s="2" t="s">
        <v>27</v>
      </c>
      <c r="C53" s="4">
        <f t="shared" ca="1" si="15"/>
        <v>1.8599999999999998E-2</v>
      </c>
      <c r="D53" s="4">
        <f t="shared" ca="1" si="16"/>
        <v>0.16356666666666667</v>
      </c>
      <c r="E53" s="4">
        <f t="shared" ca="1" si="18"/>
        <v>9.3466666666666656E-2</v>
      </c>
      <c r="F53" s="4">
        <f t="shared" ca="1" si="20"/>
        <v>0.12851666666666667</v>
      </c>
      <c r="G53" s="4">
        <f t="shared" ca="1" si="22"/>
        <v>1.1683333333333332E-2</v>
      </c>
      <c r="H53" s="4">
        <f t="shared" ca="1" si="24"/>
        <v>0</v>
      </c>
      <c r="I53" s="4">
        <f t="shared" ca="1" si="26"/>
        <v>0.10514999999999999</v>
      </c>
      <c r="J53" s="4">
        <f ca="1">(AE53-MIN($Y53:$AJ53))/$AL53</f>
        <v>0.11683333333333333</v>
      </c>
      <c r="K53" s="4">
        <f ca="1">(AF53-MIN($Y53:$AJ53))/$AL53</f>
        <v>9.3466666666666656E-2</v>
      </c>
      <c r="L53" s="4">
        <f ca="1">(AG53-MIN($Y53:$AJ53))/$AL53</f>
        <v>0.10514999999999999</v>
      </c>
      <c r="M53" s="4">
        <f ca="1">(AH53-MIN($Y53:$AJ53))/$AL53</f>
        <v>4.6733333333333328E-2</v>
      </c>
      <c r="N53" s="4">
        <f ca="1">(AI53-MIN($Y53:$AJ53))/$AL53</f>
        <v>0.11683333333333333</v>
      </c>
      <c r="O53" s="5"/>
      <c r="P53" s="8"/>
      <c r="S53" s="28"/>
      <c r="T53" s="28"/>
      <c r="W53" s="99"/>
      <c r="X53" s="99" t="s">
        <v>27</v>
      </c>
      <c r="Y53" s="85">
        <f>T$24*$D$74+T$27+T$29+T$31+T$35</f>
        <v>6</v>
      </c>
      <c r="Z53" s="85">
        <f>T$24*$E$74+T$29+T$31</f>
        <v>0</v>
      </c>
      <c r="AA53" s="85">
        <f>T$24*$F$74+T$26+T$28+T$31+T$39+T$42+T$43</f>
        <v>3</v>
      </c>
      <c r="AB53" s="85">
        <f>T$24*$G$74+T$28+T$31</f>
        <v>-7</v>
      </c>
      <c r="AC53" s="85">
        <f>T$24*$H$74+T$28+T$31+T$34</f>
        <v>-8</v>
      </c>
      <c r="AD53" s="85">
        <f>T$24*$I$74+T$29+T$31+T$37+T$41</f>
        <v>1</v>
      </c>
      <c r="AE53" s="85">
        <f>T$24*$J$74+T$26+T$29+T$31</f>
        <v>2</v>
      </c>
      <c r="AF53" s="85">
        <f>T$24*$K$74+T$29+T$31</f>
        <v>0</v>
      </c>
      <c r="AG53" s="85">
        <f>T$24*$L$74+T$29+T$31</f>
        <v>1</v>
      </c>
      <c r="AH53" s="85">
        <f>T$24*$M$74+T$28+T$31+T$41</f>
        <v>-4</v>
      </c>
      <c r="AI53" s="85">
        <f>T$24*$N$74+T$29+T$31+T$35</f>
        <v>2</v>
      </c>
      <c r="AJ53" s="142"/>
      <c r="AK53" s="99"/>
      <c r="AL53" s="99">
        <f ca="1">SUM(Y53-MIN(Y53:AJ53),Z53-MIN(Y53:AJ53),AA53-MIN(Y53:AJ53),AB53-MIN(Y53:AJ53),AC53-MIN(Y53:AJ53),AD53-MIN(Y53:AJ53),AE53-MIN(Y53:AJ53),AF53-MIN(Y53:AJ53),AG53-MIN(Y53:AJ53),AH53-MIN(Y53:AJ53),AI53-MIN(Y53:AJ53))+(C53*SUM(Y53-MIN(Y53:AJ53),Z53-MIN(Y53:AJ53),AA53-MIN(Y53:AJ53),AB53-MIN(Y53:AJ53),AC53-MIN(Y53:AJ53),AD53-MIN(Y53:AJ53),AE53-MIN(Y53:AJ53),AF53-MIN(Y53:AJ53),AG53-MIN(Y53:AJ53),AH53-MIN(Y53:AJ53),AI53-MIN(Y53:AJ53)))/(1-C53)</f>
        <v>85.592011412268192</v>
      </c>
    </row>
    <row r="54" spans="1:38" x14ac:dyDescent="0.25">
      <c r="A54" s="26">
        <v>0.3</v>
      </c>
      <c r="B54" s="2" t="s">
        <v>38</v>
      </c>
      <c r="C54" s="4">
        <f t="shared" ca="1" si="15"/>
        <v>1.12E-2</v>
      </c>
      <c r="D54" s="4"/>
      <c r="E54" s="4"/>
      <c r="F54" s="4">
        <v>0.05</v>
      </c>
      <c r="G54" s="4"/>
      <c r="H54" s="4">
        <v>0.09</v>
      </c>
      <c r="I54" s="4">
        <v>0.45</v>
      </c>
      <c r="J54" s="4">
        <v>0.09</v>
      </c>
      <c r="K54" s="4"/>
      <c r="L54" s="4"/>
      <c r="M54" s="4"/>
      <c r="N54" s="4"/>
      <c r="O54" s="4"/>
      <c r="P54" s="8"/>
      <c r="Q54" s="28" t="s">
        <v>189</v>
      </c>
      <c r="R54" s="27">
        <f ca="1">SUM(C54:O54,A54)</f>
        <v>0.99119999999999986</v>
      </c>
      <c r="S54" s="28"/>
      <c r="T54" s="28"/>
      <c r="W54" s="99"/>
      <c r="X54" s="99"/>
      <c r="Y54" s="85"/>
      <c r="Z54" s="85"/>
      <c r="AA54" s="85"/>
      <c r="AB54" s="85"/>
      <c r="AC54" s="85"/>
      <c r="AD54" s="85"/>
      <c r="AE54" s="85"/>
      <c r="AF54" s="85"/>
      <c r="AG54" s="85"/>
      <c r="AH54" s="85"/>
      <c r="AI54" s="85"/>
      <c r="AJ54" s="142"/>
      <c r="AK54" s="99"/>
      <c r="AL54" s="99"/>
    </row>
    <row r="55" spans="1:38" x14ac:dyDescent="0.25">
      <c r="A55" s="26">
        <v>0.5</v>
      </c>
      <c r="B55" s="2" t="s">
        <v>37</v>
      </c>
      <c r="C55" s="4">
        <v>0.1</v>
      </c>
      <c r="D55" s="4"/>
      <c r="E55" s="4"/>
      <c r="F55" s="4">
        <v>0.2</v>
      </c>
      <c r="G55" s="4"/>
      <c r="H55" s="4">
        <v>0.1</v>
      </c>
      <c r="I55" s="4"/>
      <c r="J55" s="4">
        <v>0.1</v>
      </c>
      <c r="K55" s="4"/>
      <c r="L55" s="4"/>
      <c r="M55" s="4"/>
      <c r="N55" s="4"/>
      <c r="O55" s="4"/>
      <c r="P55" s="8"/>
      <c r="Q55" s="28" t="s">
        <v>189</v>
      </c>
      <c r="R55" s="27">
        <f>SUM(C55:O55,A55)</f>
        <v>1</v>
      </c>
      <c r="W55" s="99"/>
      <c r="X55" s="99"/>
      <c r="Y55" s="85"/>
      <c r="Z55" s="85"/>
      <c r="AA55" s="85"/>
      <c r="AB55" s="85"/>
      <c r="AC55" s="85"/>
      <c r="AD55" s="85"/>
      <c r="AE55" s="85"/>
      <c r="AF55" s="85"/>
      <c r="AG55" s="85"/>
      <c r="AH55" s="85"/>
      <c r="AI55" s="85"/>
      <c r="AJ55" s="142"/>
      <c r="AK55" s="99"/>
      <c r="AL55" s="99"/>
    </row>
    <row r="56" spans="1:38" x14ac:dyDescent="0.25">
      <c r="A56" s="8"/>
      <c r="B56" s="8"/>
      <c r="C56" s="8"/>
      <c r="D56" s="8"/>
      <c r="E56" s="8"/>
      <c r="F56" s="8"/>
      <c r="G56" s="8"/>
      <c r="H56" s="8"/>
      <c r="I56" s="8"/>
      <c r="J56" s="8"/>
      <c r="K56" s="8"/>
      <c r="L56" s="8"/>
      <c r="M56" s="8"/>
      <c r="N56" s="8"/>
      <c r="O56" s="8"/>
      <c r="P56" s="8"/>
      <c r="W56" s="99"/>
      <c r="X56" s="99"/>
      <c r="Y56" s="99"/>
      <c r="Z56" s="99"/>
      <c r="AA56" s="99"/>
      <c r="AB56" s="99"/>
      <c r="AC56" s="99"/>
      <c r="AD56" s="99"/>
      <c r="AE56" s="99"/>
      <c r="AF56" s="99"/>
      <c r="AG56" s="99"/>
      <c r="AH56" s="99"/>
      <c r="AI56" s="99"/>
      <c r="AJ56" s="99"/>
      <c r="AK56" s="99"/>
      <c r="AL56" s="99"/>
    </row>
    <row r="57" spans="1:38" x14ac:dyDescent="0.25">
      <c r="B57" t="s">
        <v>188</v>
      </c>
      <c r="J57" s="137" t="s">
        <v>186</v>
      </c>
      <c r="K57" s="158">
        <v>543609</v>
      </c>
      <c r="L57" s="138">
        <f>K57/SUM(K$57:K$58)</f>
        <v>0.68745131266123727</v>
      </c>
      <c r="M57" s="131"/>
    </row>
    <row r="58" spans="1:38" x14ac:dyDescent="0.25">
      <c r="B58" t="s">
        <v>184</v>
      </c>
      <c r="J58" s="139" t="s">
        <v>187</v>
      </c>
      <c r="K58" s="157">
        <v>247151</v>
      </c>
      <c r="L58" s="140">
        <f>K58/SUM(K$57:K$58)</f>
        <v>0.31254868733876273</v>
      </c>
    </row>
    <row r="62" spans="1:38" x14ac:dyDescent="0.25">
      <c r="C62" s="99" t="s">
        <v>181</v>
      </c>
      <c r="D62" s="99" t="s">
        <v>16</v>
      </c>
      <c r="E62" s="99" t="s">
        <v>17</v>
      </c>
      <c r="F62" s="99" t="s">
        <v>18</v>
      </c>
      <c r="G62" s="99" t="s">
        <v>19</v>
      </c>
      <c r="H62" s="99" t="s">
        <v>20</v>
      </c>
      <c r="I62" s="99" t="s">
        <v>21</v>
      </c>
      <c r="J62" s="99" t="s">
        <v>22</v>
      </c>
      <c r="K62" s="99" t="s">
        <v>23</v>
      </c>
      <c r="L62" s="99" t="s">
        <v>24</v>
      </c>
      <c r="M62" s="99" t="s">
        <v>25</v>
      </c>
      <c r="N62" s="99" t="s">
        <v>26</v>
      </c>
      <c r="O62" s="99" t="s">
        <v>27</v>
      </c>
    </row>
    <row r="63" spans="1:38" x14ac:dyDescent="0.25">
      <c r="C63" s="99" t="s">
        <v>16</v>
      </c>
      <c r="D63" s="123"/>
      <c r="E63" s="123">
        <v>1</v>
      </c>
      <c r="F63" s="123">
        <v>0</v>
      </c>
      <c r="G63" s="123">
        <v>1</v>
      </c>
      <c r="H63" s="123">
        <v>1</v>
      </c>
      <c r="I63" s="123">
        <v>2</v>
      </c>
      <c r="J63" s="123">
        <v>1</v>
      </c>
      <c r="K63" s="123">
        <v>1</v>
      </c>
      <c r="L63" s="123">
        <v>1</v>
      </c>
      <c r="M63" s="123">
        <v>1</v>
      </c>
      <c r="N63" s="123">
        <v>2</v>
      </c>
      <c r="O63" s="123">
        <v>1</v>
      </c>
    </row>
    <row r="64" spans="1:38" x14ac:dyDescent="0.25">
      <c r="C64" s="99" t="s">
        <v>17</v>
      </c>
      <c r="D64" s="123">
        <v>1</v>
      </c>
      <c r="E64" s="123"/>
      <c r="F64" s="123">
        <f>E65</f>
        <v>4</v>
      </c>
      <c r="G64" s="123">
        <f>E66</f>
        <v>5</v>
      </c>
      <c r="H64" s="123">
        <f>E67</f>
        <v>5</v>
      </c>
      <c r="I64" s="123">
        <f>E68</f>
        <v>3</v>
      </c>
      <c r="J64" s="123">
        <f>E69</f>
        <v>7</v>
      </c>
      <c r="K64" s="123">
        <f>E70</f>
        <v>4</v>
      </c>
      <c r="L64" s="123">
        <f>E71</f>
        <v>7</v>
      </c>
      <c r="M64" s="123">
        <f>E72</f>
        <v>5</v>
      </c>
      <c r="N64" s="123">
        <f>E73</f>
        <v>8</v>
      </c>
      <c r="O64" s="123">
        <f>E74</f>
        <v>4</v>
      </c>
    </row>
    <row r="65" spans="3:29" x14ac:dyDescent="0.25">
      <c r="C65" s="99" t="s">
        <v>18</v>
      </c>
      <c r="D65" s="123">
        <v>0</v>
      </c>
      <c r="E65" s="123">
        <v>4</v>
      </c>
      <c r="F65" s="123"/>
      <c r="G65" s="123">
        <f>F66</f>
        <v>1</v>
      </c>
      <c r="H65" s="123">
        <f>F67</f>
        <v>3</v>
      </c>
      <c r="I65" s="123">
        <f>F68</f>
        <v>5</v>
      </c>
      <c r="J65" s="123">
        <f>F69</f>
        <v>3</v>
      </c>
      <c r="K65" s="123">
        <f>F70</f>
        <v>1</v>
      </c>
      <c r="L65" s="123">
        <f>F71</f>
        <v>3</v>
      </c>
      <c r="M65" s="123">
        <f>F72</f>
        <v>5</v>
      </c>
      <c r="N65" s="123">
        <f>F73</f>
        <v>1</v>
      </c>
      <c r="O65" s="123">
        <f>F74</f>
        <v>3</v>
      </c>
    </row>
    <row r="66" spans="3:29" x14ac:dyDescent="0.25">
      <c r="C66" s="99" t="s">
        <v>19</v>
      </c>
      <c r="D66" s="123">
        <v>1</v>
      </c>
      <c r="E66" s="123">
        <v>5</v>
      </c>
      <c r="F66" s="123">
        <v>1</v>
      </c>
      <c r="G66" s="123"/>
      <c r="H66" s="123">
        <f>G67</f>
        <v>7</v>
      </c>
      <c r="I66" s="123">
        <f>G68</f>
        <v>2</v>
      </c>
      <c r="J66" s="123">
        <f>G69</f>
        <v>4</v>
      </c>
      <c r="K66" s="123">
        <f>G70</f>
        <v>5</v>
      </c>
      <c r="L66" s="123">
        <f>G71</f>
        <v>4</v>
      </c>
      <c r="M66" s="123">
        <f>G72</f>
        <v>3</v>
      </c>
      <c r="N66" s="123">
        <f>G73</f>
        <v>4</v>
      </c>
      <c r="O66" s="123">
        <f>G74</f>
        <v>8</v>
      </c>
    </row>
    <row r="67" spans="3:29" x14ac:dyDescent="0.25">
      <c r="C67" s="99" t="s">
        <v>20</v>
      </c>
      <c r="D67" s="123">
        <v>1</v>
      </c>
      <c r="E67" s="123">
        <v>5</v>
      </c>
      <c r="F67" s="123">
        <v>3</v>
      </c>
      <c r="G67" s="123">
        <v>7</v>
      </c>
      <c r="H67" s="123"/>
      <c r="I67" s="123">
        <f>H68</f>
        <v>6</v>
      </c>
      <c r="J67" s="123">
        <f>H69</f>
        <v>9</v>
      </c>
      <c r="K67" s="123">
        <f>H70</f>
        <v>4</v>
      </c>
      <c r="L67" s="123">
        <f>H71</f>
        <v>5</v>
      </c>
      <c r="M67" s="123">
        <f>H72</f>
        <v>7</v>
      </c>
      <c r="N67" s="123">
        <f>H73</f>
        <v>6</v>
      </c>
      <c r="O67" s="123">
        <f>H74</f>
        <v>11</v>
      </c>
    </row>
    <row r="68" spans="3:29" x14ac:dyDescent="0.25">
      <c r="C68" s="99" t="s">
        <v>21</v>
      </c>
      <c r="D68" s="123">
        <v>2</v>
      </c>
      <c r="E68" s="123">
        <v>3</v>
      </c>
      <c r="F68" s="123">
        <v>5</v>
      </c>
      <c r="G68" s="123">
        <v>2</v>
      </c>
      <c r="H68" s="123">
        <v>6</v>
      </c>
      <c r="I68" s="123"/>
      <c r="J68" s="123">
        <f>I69</f>
        <v>3</v>
      </c>
      <c r="K68" s="123">
        <f>I70</f>
        <v>2</v>
      </c>
      <c r="L68" s="123">
        <f>I71</f>
        <v>2</v>
      </c>
      <c r="M68" s="123">
        <f>I72</f>
        <v>8</v>
      </c>
      <c r="N68" s="123">
        <f>I73</f>
        <v>3</v>
      </c>
      <c r="O68" s="123">
        <f>I74</f>
        <v>7</v>
      </c>
    </row>
    <row r="69" spans="3:29" x14ac:dyDescent="0.25">
      <c r="C69" s="99" t="s">
        <v>22</v>
      </c>
      <c r="D69" s="123">
        <v>1</v>
      </c>
      <c r="E69" s="123">
        <v>7</v>
      </c>
      <c r="F69" s="123">
        <v>3</v>
      </c>
      <c r="G69" s="123">
        <v>4</v>
      </c>
      <c r="H69" s="123">
        <v>9</v>
      </c>
      <c r="I69" s="123">
        <v>3</v>
      </c>
      <c r="J69" s="123"/>
      <c r="K69" s="123">
        <f>J70</f>
        <v>4</v>
      </c>
      <c r="L69" s="123">
        <f>J71</f>
        <v>8</v>
      </c>
      <c r="M69" s="123">
        <f>J72</f>
        <v>4</v>
      </c>
      <c r="N69" s="123">
        <f>J73</f>
        <v>7</v>
      </c>
      <c r="O69" s="123">
        <f>J74</f>
        <v>4</v>
      </c>
    </row>
    <row r="70" spans="3:29" x14ac:dyDescent="0.25">
      <c r="C70" s="99" t="s">
        <v>23</v>
      </c>
      <c r="D70" s="123">
        <v>1</v>
      </c>
      <c r="E70" s="123">
        <v>4</v>
      </c>
      <c r="F70" s="123">
        <v>1</v>
      </c>
      <c r="G70" s="123">
        <v>5</v>
      </c>
      <c r="H70" s="123">
        <v>4</v>
      </c>
      <c r="I70" s="123">
        <v>2</v>
      </c>
      <c r="J70" s="123">
        <v>4</v>
      </c>
      <c r="K70" s="123"/>
      <c r="L70" s="123">
        <f>K71</f>
        <v>5</v>
      </c>
      <c r="M70" s="123">
        <f>K72</f>
        <v>2</v>
      </c>
      <c r="N70" s="123">
        <f>K73</f>
        <v>3</v>
      </c>
      <c r="O70" s="123">
        <f>K74</f>
        <v>4</v>
      </c>
    </row>
    <row r="71" spans="3:29" x14ac:dyDescent="0.25">
      <c r="C71" s="99" t="s">
        <v>24</v>
      </c>
      <c r="D71" s="123">
        <v>1</v>
      </c>
      <c r="E71" s="123">
        <v>7</v>
      </c>
      <c r="F71" s="123">
        <v>3</v>
      </c>
      <c r="G71" s="123">
        <v>4</v>
      </c>
      <c r="H71" s="123">
        <v>5</v>
      </c>
      <c r="I71" s="123">
        <v>2</v>
      </c>
      <c r="J71" s="123">
        <v>8</v>
      </c>
      <c r="K71" s="123">
        <v>5</v>
      </c>
      <c r="L71" s="123"/>
      <c r="M71" s="123">
        <f>L72</f>
        <v>4</v>
      </c>
      <c r="N71" s="123">
        <f>L73</f>
        <v>5</v>
      </c>
      <c r="O71" s="123">
        <f>L74</f>
        <v>3</v>
      </c>
    </row>
    <row r="72" spans="3:29" x14ac:dyDescent="0.25">
      <c r="C72" s="99" t="s">
        <v>25</v>
      </c>
      <c r="D72" s="123">
        <v>1</v>
      </c>
      <c r="E72" s="123">
        <v>5</v>
      </c>
      <c r="F72" s="123">
        <v>5</v>
      </c>
      <c r="G72" s="123">
        <v>3</v>
      </c>
      <c r="H72" s="123">
        <v>7</v>
      </c>
      <c r="I72" s="123">
        <v>8</v>
      </c>
      <c r="J72" s="123">
        <v>4</v>
      </c>
      <c r="K72" s="123">
        <v>2</v>
      </c>
      <c r="L72" s="123">
        <v>4</v>
      </c>
      <c r="M72" s="123"/>
      <c r="N72" s="123">
        <f>M73</f>
        <v>3</v>
      </c>
      <c r="O72" s="123">
        <f>M74</f>
        <v>7</v>
      </c>
    </row>
    <row r="73" spans="3:29" x14ac:dyDescent="0.25">
      <c r="C73" s="99" t="s">
        <v>26</v>
      </c>
      <c r="D73" s="123">
        <v>2</v>
      </c>
      <c r="E73" s="123">
        <v>8</v>
      </c>
      <c r="F73" s="123">
        <v>1</v>
      </c>
      <c r="G73" s="123">
        <v>4</v>
      </c>
      <c r="H73" s="123">
        <v>6</v>
      </c>
      <c r="I73" s="123">
        <v>3</v>
      </c>
      <c r="J73" s="123">
        <v>7</v>
      </c>
      <c r="K73" s="123">
        <v>3</v>
      </c>
      <c r="L73" s="123">
        <v>5</v>
      </c>
      <c r="M73" s="123">
        <v>3</v>
      </c>
      <c r="N73" s="123"/>
      <c r="O73" s="123">
        <f>N74</f>
        <v>4</v>
      </c>
    </row>
    <row r="74" spans="3:29" x14ac:dyDescent="0.25">
      <c r="C74" s="99" t="s">
        <v>27</v>
      </c>
      <c r="D74" s="123">
        <v>1</v>
      </c>
      <c r="E74" s="123">
        <v>4</v>
      </c>
      <c r="F74" s="123">
        <v>3</v>
      </c>
      <c r="G74" s="123">
        <v>8</v>
      </c>
      <c r="H74" s="123">
        <v>11</v>
      </c>
      <c r="I74" s="123">
        <v>7</v>
      </c>
      <c r="J74" s="123">
        <v>4</v>
      </c>
      <c r="K74" s="123">
        <v>4</v>
      </c>
      <c r="L74" s="123">
        <v>3</v>
      </c>
      <c r="M74" s="123">
        <v>7</v>
      </c>
      <c r="N74" s="123">
        <v>4</v>
      </c>
      <c r="O74" s="123"/>
    </row>
    <row r="75" spans="3:29" x14ac:dyDescent="0.25">
      <c r="C75" s="99"/>
      <c r="D75" s="99"/>
      <c r="E75" s="99"/>
      <c r="F75" s="99"/>
      <c r="G75" s="99"/>
      <c r="H75" s="99"/>
      <c r="I75" s="99"/>
      <c r="J75" s="99"/>
      <c r="K75" s="99"/>
      <c r="L75" s="99"/>
      <c r="M75" s="99"/>
      <c r="N75" s="99"/>
      <c r="O75" s="99"/>
      <c r="W75" s="124"/>
      <c r="X75" s="124"/>
      <c r="Y75" s="124"/>
      <c r="Z75" s="124"/>
    </row>
    <row r="76" spans="3:29" x14ac:dyDescent="0.25">
      <c r="C76" s="99" t="s">
        <v>182</v>
      </c>
      <c r="D76" s="99" t="s">
        <v>16</v>
      </c>
      <c r="E76" s="99" t="s">
        <v>17</v>
      </c>
      <c r="F76" s="99" t="s">
        <v>18</v>
      </c>
      <c r="G76" s="99" t="s">
        <v>19</v>
      </c>
      <c r="H76" s="99" t="s">
        <v>20</v>
      </c>
      <c r="I76" s="99" t="s">
        <v>21</v>
      </c>
      <c r="J76" s="99" t="s">
        <v>22</v>
      </c>
      <c r="K76" s="99" t="s">
        <v>23</v>
      </c>
      <c r="L76" s="99" t="s">
        <v>24</v>
      </c>
      <c r="M76" s="99" t="s">
        <v>25</v>
      </c>
      <c r="N76" s="99" t="s">
        <v>26</v>
      </c>
      <c r="O76" s="99" t="s">
        <v>27</v>
      </c>
      <c r="X76" s="126"/>
      <c r="Y76" s="126"/>
      <c r="Z76" s="61"/>
      <c r="AA76" s="61"/>
      <c r="AB76" s="61"/>
      <c r="AC76" s="61"/>
    </row>
    <row r="77" spans="3:29" x14ac:dyDescent="0.25">
      <c r="C77" s="99" t="s">
        <v>16</v>
      </c>
      <c r="D77" s="123"/>
      <c r="E77" s="123">
        <f>D78</f>
        <v>0</v>
      </c>
      <c r="F77" s="123">
        <f>D79</f>
        <v>0</v>
      </c>
      <c r="G77" s="123">
        <f>D80</f>
        <v>0</v>
      </c>
      <c r="H77" s="123">
        <f>D81</f>
        <v>1</v>
      </c>
      <c r="I77" s="123">
        <f>D82</f>
        <v>1</v>
      </c>
      <c r="J77" s="123">
        <f>D83</f>
        <v>0</v>
      </c>
      <c r="K77" s="123">
        <f>D84</f>
        <v>0</v>
      </c>
      <c r="L77" s="123">
        <f>D85</f>
        <v>0</v>
      </c>
      <c r="M77" s="123">
        <f>D86</f>
        <v>0</v>
      </c>
      <c r="N77" s="123">
        <f>D87</f>
        <v>0</v>
      </c>
      <c r="O77" s="123">
        <f>D88</f>
        <v>0</v>
      </c>
      <c r="X77" s="126"/>
      <c r="Y77" s="125"/>
      <c r="Z77" s="61"/>
      <c r="AA77" s="61"/>
      <c r="AB77" s="61"/>
      <c r="AC77" s="61"/>
    </row>
    <row r="78" spans="3:29" x14ac:dyDescent="0.25">
      <c r="C78" s="99" t="s">
        <v>17</v>
      </c>
      <c r="D78" s="123">
        <v>0</v>
      </c>
      <c r="E78" s="123"/>
      <c r="F78" s="123">
        <f>E79</f>
        <v>1</v>
      </c>
      <c r="G78" s="123">
        <f>E80</f>
        <v>0</v>
      </c>
      <c r="H78" s="123">
        <f>E81</f>
        <v>0</v>
      </c>
      <c r="I78" s="123">
        <f>E82</f>
        <v>0</v>
      </c>
      <c r="J78" s="123">
        <f>E83</f>
        <v>0</v>
      </c>
      <c r="K78" s="123">
        <f>E84</f>
        <v>1</v>
      </c>
      <c r="L78" s="123">
        <f>E85</f>
        <v>0</v>
      </c>
      <c r="M78" s="123">
        <f>E86</f>
        <v>0</v>
      </c>
      <c r="N78" s="123">
        <f>E87</f>
        <v>0</v>
      </c>
      <c r="O78" s="123">
        <f>E88</f>
        <v>0</v>
      </c>
      <c r="X78" s="126"/>
      <c r="Y78" s="125"/>
      <c r="Z78" s="61"/>
      <c r="AA78" s="61"/>
      <c r="AB78" s="61"/>
      <c r="AC78" s="61"/>
    </row>
    <row r="79" spans="3:29" x14ac:dyDescent="0.25">
      <c r="C79" s="99" t="s">
        <v>18</v>
      </c>
      <c r="D79" s="123">
        <v>0</v>
      </c>
      <c r="E79" s="123">
        <v>1</v>
      </c>
      <c r="F79" s="123"/>
      <c r="G79" s="123">
        <f>F80</f>
        <v>0</v>
      </c>
      <c r="H79" s="123">
        <f>F81</f>
        <v>1</v>
      </c>
      <c r="I79" s="123">
        <f>F82</f>
        <v>1</v>
      </c>
      <c r="J79" s="123">
        <f>F83</f>
        <v>2</v>
      </c>
      <c r="K79" s="123">
        <f>F84</f>
        <v>1</v>
      </c>
      <c r="L79" s="123">
        <f>F85</f>
        <v>0</v>
      </c>
      <c r="M79" s="123">
        <f>F86</f>
        <v>0</v>
      </c>
      <c r="N79" s="123">
        <f>F87</f>
        <v>1</v>
      </c>
      <c r="O79" s="123">
        <f>F88</f>
        <v>1</v>
      </c>
      <c r="X79" s="126"/>
      <c r="Y79" s="126"/>
      <c r="Z79" s="61"/>
      <c r="AA79" s="61"/>
      <c r="AB79" s="61"/>
      <c r="AC79" s="61"/>
    </row>
    <row r="80" spans="3:29" x14ac:dyDescent="0.25">
      <c r="C80" s="99" t="s">
        <v>19</v>
      </c>
      <c r="D80" s="123">
        <v>0</v>
      </c>
      <c r="E80" s="123">
        <v>0</v>
      </c>
      <c r="F80" s="123">
        <v>0</v>
      </c>
      <c r="G80" s="123"/>
      <c r="H80" s="123">
        <f>G81</f>
        <v>1</v>
      </c>
      <c r="I80" s="123">
        <f>G82</f>
        <v>0</v>
      </c>
      <c r="J80" s="123">
        <f>G83</f>
        <v>0</v>
      </c>
      <c r="K80" s="123">
        <f>G84</f>
        <v>0</v>
      </c>
      <c r="L80" s="123">
        <f>G85</f>
        <v>0</v>
      </c>
      <c r="M80" s="123">
        <f>G86</f>
        <v>0</v>
      </c>
      <c r="N80" s="123">
        <f>G87</f>
        <v>0</v>
      </c>
      <c r="O80" s="123">
        <f>G88</f>
        <v>0</v>
      </c>
      <c r="X80" s="126"/>
      <c r="Y80" s="125"/>
      <c r="Z80" s="61"/>
      <c r="AA80" s="61"/>
      <c r="AB80" s="61"/>
      <c r="AC80" s="61"/>
    </row>
    <row r="81" spans="3:29" x14ac:dyDescent="0.25">
      <c r="C81" s="99" t="s">
        <v>20</v>
      </c>
      <c r="D81" s="123">
        <v>1</v>
      </c>
      <c r="E81" s="123">
        <v>0</v>
      </c>
      <c r="F81" s="123">
        <v>1</v>
      </c>
      <c r="G81" s="123">
        <v>1</v>
      </c>
      <c r="H81" s="123"/>
      <c r="I81" s="123">
        <f>H82</f>
        <v>0</v>
      </c>
      <c r="J81" s="123">
        <f>H83</f>
        <v>1</v>
      </c>
      <c r="K81" s="123">
        <f>H84</f>
        <v>1</v>
      </c>
      <c r="L81" s="123">
        <f>H85</f>
        <v>0</v>
      </c>
      <c r="M81" s="123">
        <f>H86</f>
        <v>0</v>
      </c>
      <c r="N81" s="123">
        <f>H87</f>
        <v>1</v>
      </c>
      <c r="O81" s="123">
        <f>H88</f>
        <v>0</v>
      </c>
      <c r="X81" s="126"/>
      <c r="Y81" s="125"/>
      <c r="Z81" s="61"/>
      <c r="AA81" s="61"/>
      <c r="AB81" s="61"/>
      <c r="AC81" s="61"/>
    </row>
    <row r="82" spans="3:29" x14ac:dyDescent="0.25">
      <c r="C82" s="99" t="s">
        <v>21</v>
      </c>
      <c r="D82" s="123">
        <v>1</v>
      </c>
      <c r="E82" s="123">
        <v>0</v>
      </c>
      <c r="F82" s="123">
        <v>1</v>
      </c>
      <c r="G82" s="123">
        <v>0</v>
      </c>
      <c r="H82" s="123">
        <v>0</v>
      </c>
      <c r="I82" s="123"/>
      <c r="J82" s="123">
        <f>I83</f>
        <v>3</v>
      </c>
      <c r="K82" s="123">
        <f>I84</f>
        <v>0</v>
      </c>
      <c r="L82" s="123">
        <f>I85</f>
        <v>1</v>
      </c>
      <c r="M82" s="123">
        <f>I86</f>
        <v>0</v>
      </c>
      <c r="N82" s="123">
        <f>I87</f>
        <v>2</v>
      </c>
      <c r="O82" s="123">
        <f>I88</f>
        <v>0</v>
      </c>
      <c r="X82" s="126"/>
      <c r="Y82" s="125"/>
      <c r="Z82" s="61"/>
      <c r="AA82" s="61"/>
      <c r="AB82" s="61"/>
      <c r="AC82" s="61"/>
    </row>
    <row r="83" spans="3:29" x14ac:dyDescent="0.25">
      <c r="C83" s="99" t="s">
        <v>22</v>
      </c>
      <c r="D83" s="123">
        <v>0</v>
      </c>
      <c r="E83" s="123">
        <v>0</v>
      </c>
      <c r="F83" s="123">
        <v>2</v>
      </c>
      <c r="G83" s="123">
        <v>0</v>
      </c>
      <c r="H83" s="123">
        <v>1</v>
      </c>
      <c r="I83" s="123">
        <v>3</v>
      </c>
      <c r="J83" s="123"/>
      <c r="K83" s="123">
        <f>J84</f>
        <v>2</v>
      </c>
      <c r="L83" s="123">
        <f>J85</f>
        <v>0</v>
      </c>
      <c r="M83" s="123">
        <f>J86</f>
        <v>1</v>
      </c>
      <c r="N83" s="123">
        <f>J87</f>
        <v>1</v>
      </c>
      <c r="O83" s="123">
        <f>J88</f>
        <v>1</v>
      </c>
      <c r="X83" s="126"/>
      <c r="Y83" s="126"/>
      <c r="Z83" s="61"/>
      <c r="AA83" s="61"/>
      <c r="AB83" s="61"/>
      <c r="AC83" s="61"/>
    </row>
    <row r="84" spans="3:29" x14ac:dyDescent="0.25">
      <c r="C84" s="99" t="s">
        <v>23</v>
      </c>
      <c r="D84" s="123">
        <v>0</v>
      </c>
      <c r="E84" s="123">
        <v>1</v>
      </c>
      <c r="F84" s="123">
        <v>1</v>
      </c>
      <c r="G84" s="123">
        <v>0</v>
      </c>
      <c r="H84" s="123">
        <v>1</v>
      </c>
      <c r="I84" s="123">
        <v>0</v>
      </c>
      <c r="J84" s="123">
        <v>2</v>
      </c>
      <c r="K84" s="123"/>
      <c r="L84" s="123">
        <f>K85</f>
        <v>0</v>
      </c>
      <c r="M84" s="123">
        <f>K86</f>
        <v>0</v>
      </c>
      <c r="N84" s="123">
        <f>K87</f>
        <v>1</v>
      </c>
      <c r="O84" s="123">
        <f>K88</f>
        <v>0</v>
      </c>
      <c r="X84" s="126"/>
      <c r="Y84" s="125"/>
      <c r="Z84" s="61"/>
      <c r="AA84" s="61"/>
      <c r="AB84" s="61"/>
      <c r="AC84" s="61"/>
    </row>
    <row r="85" spans="3:29" x14ac:dyDescent="0.25">
      <c r="C85" s="99" t="s">
        <v>24</v>
      </c>
      <c r="D85" s="123">
        <v>0</v>
      </c>
      <c r="E85" s="123">
        <v>0</v>
      </c>
      <c r="F85" s="123">
        <v>0</v>
      </c>
      <c r="G85" s="123">
        <v>0</v>
      </c>
      <c r="H85" s="123">
        <v>0</v>
      </c>
      <c r="I85" s="123">
        <v>1</v>
      </c>
      <c r="J85" s="123">
        <v>0</v>
      </c>
      <c r="K85" s="123">
        <v>0</v>
      </c>
      <c r="L85" s="123"/>
      <c r="M85" s="123">
        <f>L86</f>
        <v>0</v>
      </c>
      <c r="N85" s="123">
        <f>L87</f>
        <v>0</v>
      </c>
      <c r="O85" s="123">
        <f>L88</f>
        <v>0</v>
      </c>
      <c r="X85" s="126"/>
      <c r="Y85" s="125"/>
      <c r="Z85" s="61"/>
      <c r="AA85" s="61"/>
      <c r="AB85" s="61"/>
      <c r="AC85" s="61"/>
    </row>
    <row r="86" spans="3:29" x14ac:dyDescent="0.25">
      <c r="C86" s="99" t="s">
        <v>25</v>
      </c>
      <c r="D86" s="123">
        <v>0</v>
      </c>
      <c r="E86" s="123">
        <v>0</v>
      </c>
      <c r="F86" s="123">
        <v>0</v>
      </c>
      <c r="G86" s="123">
        <v>0</v>
      </c>
      <c r="H86" s="123">
        <v>0</v>
      </c>
      <c r="I86" s="123">
        <v>0</v>
      </c>
      <c r="J86" s="123">
        <v>1</v>
      </c>
      <c r="K86" s="123">
        <v>0</v>
      </c>
      <c r="L86" s="123">
        <v>0</v>
      </c>
      <c r="M86" s="123"/>
      <c r="N86" s="123">
        <f>M87</f>
        <v>1</v>
      </c>
      <c r="O86" s="123">
        <f>M88</f>
        <v>0</v>
      </c>
      <c r="X86" s="126"/>
      <c r="Y86" s="126"/>
      <c r="Z86" s="61"/>
      <c r="AA86" s="61"/>
      <c r="AB86" s="61"/>
      <c r="AC86" s="61"/>
    </row>
    <row r="87" spans="3:29" x14ac:dyDescent="0.25">
      <c r="C87" s="99" t="s">
        <v>26</v>
      </c>
      <c r="D87" s="123">
        <v>0</v>
      </c>
      <c r="E87" s="123">
        <v>0</v>
      </c>
      <c r="F87" s="123">
        <v>1</v>
      </c>
      <c r="G87" s="123">
        <v>0</v>
      </c>
      <c r="H87" s="123">
        <v>1</v>
      </c>
      <c r="I87" s="123">
        <v>2</v>
      </c>
      <c r="J87" s="123">
        <v>1</v>
      </c>
      <c r="K87" s="123">
        <v>1</v>
      </c>
      <c r="L87" s="123">
        <v>0</v>
      </c>
      <c r="M87" s="123">
        <v>1</v>
      </c>
      <c r="N87" s="123"/>
      <c r="O87" s="123">
        <f>N88</f>
        <v>0</v>
      </c>
      <c r="X87" s="126"/>
      <c r="Y87" s="125"/>
      <c r="Z87" s="61"/>
    </row>
    <row r="88" spans="3:29" x14ac:dyDescent="0.25">
      <c r="C88" s="99" t="s">
        <v>27</v>
      </c>
      <c r="D88" s="123">
        <v>0</v>
      </c>
      <c r="E88" s="123">
        <v>0</v>
      </c>
      <c r="F88" s="123">
        <v>1</v>
      </c>
      <c r="G88" s="123">
        <v>0</v>
      </c>
      <c r="H88" s="123">
        <v>0</v>
      </c>
      <c r="I88" s="123">
        <v>0</v>
      </c>
      <c r="J88" s="123">
        <v>1</v>
      </c>
      <c r="K88" s="123">
        <v>0</v>
      </c>
      <c r="L88" s="123">
        <v>0</v>
      </c>
      <c r="M88" s="123">
        <v>0</v>
      </c>
      <c r="N88" s="123">
        <v>0</v>
      </c>
      <c r="O88" s="123"/>
    </row>
    <row r="89" spans="3:29" x14ac:dyDescent="0.25">
      <c r="C89" s="99"/>
      <c r="D89" s="99"/>
      <c r="E89" s="99"/>
      <c r="F89" s="99"/>
      <c r="G89" s="99"/>
      <c r="H89" s="99"/>
      <c r="I89" s="99"/>
      <c r="J89" s="99"/>
      <c r="K89" s="99"/>
      <c r="L89" s="99"/>
      <c r="M89" s="99"/>
      <c r="N89" s="99"/>
      <c r="O89" s="99"/>
    </row>
    <row r="90" spans="3:29" x14ac:dyDescent="0.25">
      <c r="C90" s="99" t="s">
        <v>82</v>
      </c>
      <c r="D90" s="99" t="s">
        <v>16</v>
      </c>
      <c r="E90" s="99" t="s">
        <v>17</v>
      </c>
      <c r="F90" s="99" t="s">
        <v>18</v>
      </c>
      <c r="G90" s="99" t="s">
        <v>19</v>
      </c>
      <c r="H90" s="99" t="s">
        <v>20</v>
      </c>
      <c r="I90" s="99" t="s">
        <v>21</v>
      </c>
      <c r="J90" s="99" t="s">
        <v>22</v>
      </c>
      <c r="K90" s="99" t="s">
        <v>23</v>
      </c>
      <c r="L90" s="99" t="s">
        <v>24</v>
      </c>
      <c r="M90" s="99" t="s">
        <v>25</v>
      </c>
      <c r="N90" s="99" t="s">
        <v>26</v>
      </c>
      <c r="O90" s="99" t="s">
        <v>27</v>
      </c>
    </row>
    <row r="91" spans="3:29" x14ac:dyDescent="0.25">
      <c r="C91" s="99" t="s">
        <v>16</v>
      </c>
      <c r="D91" s="123"/>
      <c r="E91" s="123">
        <f t="shared" ref="E91:O91" si="27">E63-E77</f>
        <v>1</v>
      </c>
      <c r="F91" s="123">
        <f t="shared" si="27"/>
        <v>0</v>
      </c>
      <c r="G91" s="123">
        <f t="shared" si="27"/>
        <v>1</v>
      </c>
      <c r="H91" s="123">
        <f t="shared" si="27"/>
        <v>0</v>
      </c>
      <c r="I91" s="123">
        <f t="shared" si="27"/>
        <v>1</v>
      </c>
      <c r="J91" s="123">
        <f t="shared" si="27"/>
        <v>1</v>
      </c>
      <c r="K91" s="123">
        <f t="shared" si="27"/>
        <v>1</v>
      </c>
      <c r="L91" s="123">
        <f t="shared" si="27"/>
        <v>1</v>
      </c>
      <c r="M91" s="123">
        <f t="shared" si="27"/>
        <v>1</v>
      </c>
      <c r="N91" s="123">
        <f t="shared" si="27"/>
        <v>2</v>
      </c>
      <c r="O91" s="123">
        <f t="shared" si="27"/>
        <v>1</v>
      </c>
    </row>
    <row r="92" spans="3:29" x14ac:dyDescent="0.25">
      <c r="C92" s="99" t="s">
        <v>17</v>
      </c>
      <c r="D92" s="123">
        <f t="shared" ref="D92:O92" si="28">D64-D78</f>
        <v>1</v>
      </c>
      <c r="E92" s="123"/>
      <c r="F92" s="123">
        <f t="shared" si="28"/>
        <v>3</v>
      </c>
      <c r="G92" s="123">
        <f t="shared" si="28"/>
        <v>5</v>
      </c>
      <c r="H92" s="123">
        <f t="shared" si="28"/>
        <v>5</v>
      </c>
      <c r="I92" s="123">
        <f t="shared" si="28"/>
        <v>3</v>
      </c>
      <c r="J92" s="123">
        <f t="shared" si="28"/>
        <v>7</v>
      </c>
      <c r="K92" s="123">
        <f t="shared" si="28"/>
        <v>3</v>
      </c>
      <c r="L92" s="123">
        <f t="shared" si="28"/>
        <v>7</v>
      </c>
      <c r="M92" s="123">
        <f t="shared" si="28"/>
        <v>5</v>
      </c>
      <c r="N92" s="123">
        <f t="shared" si="28"/>
        <v>8</v>
      </c>
      <c r="O92" s="123">
        <f t="shared" si="28"/>
        <v>4</v>
      </c>
    </row>
    <row r="93" spans="3:29" x14ac:dyDescent="0.25">
      <c r="C93" s="99" t="s">
        <v>18</v>
      </c>
      <c r="D93" s="123">
        <f t="shared" ref="D93:O93" si="29">D65-D79</f>
        <v>0</v>
      </c>
      <c r="E93" s="123">
        <f t="shared" si="29"/>
        <v>3</v>
      </c>
      <c r="F93" s="123"/>
      <c r="G93" s="123">
        <f t="shared" si="29"/>
        <v>1</v>
      </c>
      <c r="H93" s="123">
        <f t="shared" si="29"/>
        <v>2</v>
      </c>
      <c r="I93" s="123">
        <f t="shared" si="29"/>
        <v>4</v>
      </c>
      <c r="J93" s="123">
        <f t="shared" si="29"/>
        <v>1</v>
      </c>
      <c r="K93" s="123">
        <f t="shared" si="29"/>
        <v>0</v>
      </c>
      <c r="L93" s="123">
        <f t="shared" si="29"/>
        <v>3</v>
      </c>
      <c r="M93" s="123">
        <f t="shared" si="29"/>
        <v>5</v>
      </c>
      <c r="N93" s="123">
        <f t="shared" si="29"/>
        <v>0</v>
      </c>
      <c r="O93" s="123">
        <f t="shared" si="29"/>
        <v>2</v>
      </c>
    </row>
    <row r="94" spans="3:29" x14ac:dyDescent="0.25">
      <c r="C94" s="99" t="s">
        <v>19</v>
      </c>
      <c r="D94" s="123">
        <f t="shared" ref="D94:O94" si="30">D66-D80</f>
        <v>1</v>
      </c>
      <c r="E94" s="123">
        <f t="shared" si="30"/>
        <v>5</v>
      </c>
      <c r="F94" s="123">
        <f t="shared" si="30"/>
        <v>1</v>
      </c>
      <c r="G94" s="123"/>
      <c r="H94" s="123">
        <f t="shared" si="30"/>
        <v>6</v>
      </c>
      <c r="I94" s="123">
        <f t="shared" si="30"/>
        <v>2</v>
      </c>
      <c r="J94" s="123">
        <f t="shared" si="30"/>
        <v>4</v>
      </c>
      <c r="K94" s="123">
        <f t="shared" si="30"/>
        <v>5</v>
      </c>
      <c r="L94" s="123">
        <f t="shared" si="30"/>
        <v>4</v>
      </c>
      <c r="M94" s="123">
        <f t="shared" si="30"/>
        <v>3</v>
      </c>
      <c r="N94" s="123">
        <f t="shared" si="30"/>
        <v>4</v>
      </c>
      <c r="O94" s="123">
        <f t="shared" si="30"/>
        <v>8</v>
      </c>
    </row>
    <row r="95" spans="3:29" x14ac:dyDescent="0.25">
      <c r="C95" s="99" t="s">
        <v>20</v>
      </c>
      <c r="D95" s="123">
        <f t="shared" ref="D95:O95" si="31">D67-D81</f>
        <v>0</v>
      </c>
      <c r="E95" s="123">
        <f t="shared" si="31"/>
        <v>5</v>
      </c>
      <c r="F95" s="123">
        <f t="shared" si="31"/>
        <v>2</v>
      </c>
      <c r="G95" s="123">
        <f t="shared" si="31"/>
        <v>6</v>
      </c>
      <c r="H95" s="123"/>
      <c r="I95" s="123">
        <f t="shared" si="31"/>
        <v>6</v>
      </c>
      <c r="J95" s="123">
        <f t="shared" si="31"/>
        <v>8</v>
      </c>
      <c r="K95" s="123">
        <f t="shared" si="31"/>
        <v>3</v>
      </c>
      <c r="L95" s="123">
        <f t="shared" si="31"/>
        <v>5</v>
      </c>
      <c r="M95" s="123">
        <f t="shared" si="31"/>
        <v>7</v>
      </c>
      <c r="N95" s="123">
        <f t="shared" si="31"/>
        <v>5</v>
      </c>
      <c r="O95" s="123">
        <f t="shared" si="31"/>
        <v>11</v>
      </c>
    </row>
    <row r="96" spans="3:29" x14ac:dyDescent="0.25">
      <c r="C96" s="99" t="s">
        <v>21</v>
      </c>
      <c r="D96" s="123">
        <f t="shared" ref="D96:O96" si="32">D68-D82</f>
        <v>1</v>
      </c>
      <c r="E96" s="123">
        <f t="shared" si="32"/>
        <v>3</v>
      </c>
      <c r="F96" s="123">
        <f t="shared" si="32"/>
        <v>4</v>
      </c>
      <c r="G96" s="123">
        <f t="shared" si="32"/>
        <v>2</v>
      </c>
      <c r="H96" s="123">
        <f t="shared" si="32"/>
        <v>6</v>
      </c>
      <c r="I96" s="123"/>
      <c r="J96" s="123">
        <f t="shared" si="32"/>
        <v>0</v>
      </c>
      <c r="K96" s="123">
        <f t="shared" si="32"/>
        <v>2</v>
      </c>
      <c r="L96" s="123">
        <f t="shared" si="32"/>
        <v>1</v>
      </c>
      <c r="M96" s="123">
        <f t="shared" si="32"/>
        <v>8</v>
      </c>
      <c r="N96" s="123">
        <f t="shared" si="32"/>
        <v>1</v>
      </c>
      <c r="O96" s="123">
        <f t="shared" si="32"/>
        <v>7</v>
      </c>
    </row>
    <row r="97" spans="2:15" x14ac:dyDescent="0.25">
      <c r="C97" s="99" t="s">
        <v>22</v>
      </c>
      <c r="D97" s="123">
        <f t="shared" ref="D97:O97" si="33">D69-D83</f>
        <v>1</v>
      </c>
      <c r="E97" s="123">
        <f t="shared" si="33"/>
        <v>7</v>
      </c>
      <c r="F97" s="123">
        <f t="shared" si="33"/>
        <v>1</v>
      </c>
      <c r="G97" s="123">
        <f t="shared" si="33"/>
        <v>4</v>
      </c>
      <c r="H97" s="123">
        <f t="shared" si="33"/>
        <v>8</v>
      </c>
      <c r="I97" s="123">
        <f t="shared" si="33"/>
        <v>0</v>
      </c>
      <c r="J97" s="123"/>
      <c r="K97" s="123">
        <f t="shared" si="33"/>
        <v>2</v>
      </c>
      <c r="L97" s="123">
        <f t="shared" si="33"/>
        <v>8</v>
      </c>
      <c r="M97" s="123">
        <f t="shared" si="33"/>
        <v>3</v>
      </c>
      <c r="N97" s="123">
        <f t="shared" si="33"/>
        <v>6</v>
      </c>
      <c r="O97" s="123">
        <f t="shared" si="33"/>
        <v>3</v>
      </c>
    </row>
    <row r="98" spans="2:15" x14ac:dyDescent="0.25">
      <c r="C98" s="99" t="s">
        <v>23</v>
      </c>
      <c r="D98" s="123">
        <f t="shared" ref="D98:O98" si="34">D70-D84</f>
        <v>1</v>
      </c>
      <c r="E98" s="123">
        <f t="shared" si="34"/>
        <v>3</v>
      </c>
      <c r="F98" s="123">
        <f t="shared" si="34"/>
        <v>0</v>
      </c>
      <c r="G98" s="123">
        <f t="shared" si="34"/>
        <v>5</v>
      </c>
      <c r="H98" s="123">
        <f t="shared" si="34"/>
        <v>3</v>
      </c>
      <c r="I98" s="123">
        <f t="shared" si="34"/>
        <v>2</v>
      </c>
      <c r="J98" s="123">
        <f t="shared" si="34"/>
        <v>2</v>
      </c>
      <c r="K98" s="123"/>
      <c r="L98" s="123">
        <f t="shared" si="34"/>
        <v>5</v>
      </c>
      <c r="M98" s="123">
        <f t="shared" si="34"/>
        <v>2</v>
      </c>
      <c r="N98" s="123">
        <f t="shared" si="34"/>
        <v>2</v>
      </c>
      <c r="O98" s="123">
        <f t="shared" si="34"/>
        <v>4</v>
      </c>
    </row>
    <row r="99" spans="2:15" x14ac:dyDescent="0.25">
      <c r="C99" s="99" t="s">
        <v>24</v>
      </c>
      <c r="D99" s="123">
        <f t="shared" ref="D99:O99" si="35">D71-D85</f>
        <v>1</v>
      </c>
      <c r="E99" s="123">
        <f t="shared" si="35"/>
        <v>7</v>
      </c>
      <c r="F99" s="123">
        <f t="shared" si="35"/>
        <v>3</v>
      </c>
      <c r="G99" s="123">
        <f t="shared" si="35"/>
        <v>4</v>
      </c>
      <c r="H99" s="123">
        <f t="shared" si="35"/>
        <v>5</v>
      </c>
      <c r="I99" s="123">
        <f t="shared" si="35"/>
        <v>1</v>
      </c>
      <c r="J99" s="123">
        <f t="shared" si="35"/>
        <v>8</v>
      </c>
      <c r="K99" s="123">
        <f t="shared" si="35"/>
        <v>5</v>
      </c>
      <c r="L99" s="123"/>
      <c r="M99" s="123">
        <f t="shared" si="35"/>
        <v>4</v>
      </c>
      <c r="N99" s="123">
        <f t="shared" si="35"/>
        <v>5</v>
      </c>
      <c r="O99" s="123">
        <f t="shared" si="35"/>
        <v>3</v>
      </c>
    </row>
    <row r="100" spans="2:15" x14ac:dyDescent="0.25">
      <c r="C100" s="99" t="s">
        <v>25</v>
      </c>
      <c r="D100" s="123">
        <f t="shared" ref="D100:O100" si="36">D72-D86</f>
        <v>1</v>
      </c>
      <c r="E100" s="123">
        <f t="shared" si="36"/>
        <v>5</v>
      </c>
      <c r="F100" s="123">
        <f t="shared" si="36"/>
        <v>5</v>
      </c>
      <c r="G100" s="123">
        <f t="shared" si="36"/>
        <v>3</v>
      </c>
      <c r="H100" s="123">
        <f t="shared" si="36"/>
        <v>7</v>
      </c>
      <c r="I100" s="123">
        <f t="shared" si="36"/>
        <v>8</v>
      </c>
      <c r="J100" s="123">
        <f t="shared" si="36"/>
        <v>3</v>
      </c>
      <c r="K100" s="123">
        <f t="shared" si="36"/>
        <v>2</v>
      </c>
      <c r="L100" s="123">
        <f t="shared" si="36"/>
        <v>4</v>
      </c>
      <c r="M100" s="123"/>
      <c r="N100" s="123">
        <f t="shared" si="36"/>
        <v>2</v>
      </c>
      <c r="O100" s="123">
        <f t="shared" si="36"/>
        <v>7</v>
      </c>
    </row>
    <row r="101" spans="2:15" x14ac:dyDescent="0.25">
      <c r="B101" s="108"/>
      <c r="C101" s="99" t="s">
        <v>26</v>
      </c>
      <c r="D101" s="123">
        <f t="shared" ref="D101:O101" si="37">D73-D87</f>
        <v>2</v>
      </c>
      <c r="E101" s="123">
        <f t="shared" si="37"/>
        <v>8</v>
      </c>
      <c r="F101" s="123">
        <f t="shared" si="37"/>
        <v>0</v>
      </c>
      <c r="G101" s="123">
        <f t="shared" si="37"/>
        <v>4</v>
      </c>
      <c r="H101" s="123">
        <f t="shared" si="37"/>
        <v>5</v>
      </c>
      <c r="I101" s="123">
        <f t="shared" si="37"/>
        <v>1</v>
      </c>
      <c r="J101" s="123">
        <f t="shared" si="37"/>
        <v>6</v>
      </c>
      <c r="K101" s="123">
        <f t="shared" si="37"/>
        <v>2</v>
      </c>
      <c r="L101" s="123">
        <f t="shared" si="37"/>
        <v>5</v>
      </c>
      <c r="M101" s="123">
        <f t="shared" si="37"/>
        <v>2</v>
      </c>
      <c r="N101" s="123"/>
      <c r="O101" s="123">
        <f t="shared" si="37"/>
        <v>4</v>
      </c>
    </row>
    <row r="102" spans="2:15" x14ac:dyDescent="0.25">
      <c r="B102" s="108"/>
      <c r="C102" s="99" t="s">
        <v>27</v>
      </c>
      <c r="D102" s="123">
        <f t="shared" ref="D102:N102" si="38">D74-D88</f>
        <v>1</v>
      </c>
      <c r="E102" s="123">
        <f t="shared" si="38"/>
        <v>4</v>
      </c>
      <c r="F102" s="123">
        <f t="shared" si="38"/>
        <v>2</v>
      </c>
      <c r="G102" s="123">
        <f t="shared" si="38"/>
        <v>8</v>
      </c>
      <c r="H102" s="123">
        <f t="shared" si="38"/>
        <v>11</v>
      </c>
      <c r="I102" s="123">
        <f t="shared" si="38"/>
        <v>7</v>
      </c>
      <c r="J102" s="123">
        <f t="shared" si="38"/>
        <v>3</v>
      </c>
      <c r="K102" s="123">
        <f t="shared" si="38"/>
        <v>4</v>
      </c>
      <c r="L102" s="123">
        <f t="shared" si="38"/>
        <v>3</v>
      </c>
      <c r="M102" s="123">
        <f t="shared" si="38"/>
        <v>7</v>
      </c>
      <c r="N102" s="123">
        <f t="shared" si="38"/>
        <v>4</v>
      </c>
      <c r="O102" s="123"/>
    </row>
    <row r="103" spans="2:15" x14ac:dyDescent="0.25">
      <c r="B103" s="108"/>
      <c r="C103" s="108"/>
      <c r="D103" s="108"/>
      <c r="E103" s="108"/>
      <c r="F103" s="108"/>
      <c r="G103" s="108"/>
      <c r="H103" s="108"/>
      <c r="I103" s="108"/>
      <c r="J103" s="108"/>
      <c r="K103" s="108"/>
      <c r="L103" s="108"/>
      <c r="M103" s="108"/>
      <c r="N103" s="108"/>
      <c r="O103" s="108"/>
    </row>
    <row r="104" spans="2:15" x14ac:dyDescent="0.25">
      <c r="B104" s="108"/>
      <c r="C104" s="108"/>
      <c r="D104" s="108"/>
      <c r="E104" s="108"/>
      <c r="F104" s="108"/>
      <c r="G104" s="108"/>
      <c r="H104" s="108"/>
      <c r="I104" s="108"/>
      <c r="J104" s="108"/>
      <c r="K104" s="108"/>
      <c r="L104" s="108"/>
      <c r="M104" s="108"/>
      <c r="N104" s="108"/>
      <c r="O104" s="108"/>
    </row>
    <row r="105" spans="2:15" x14ac:dyDescent="0.25">
      <c r="B105" s="108"/>
      <c r="C105" s="108"/>
      <c r="D105" s="108"/>
      <c r="E105" s="108"/>
      <c r="F105" s="108"/>
      <c r="G105" s="108"/>
      <c r="H105" s="108"/>
      <c r="I105" s="108"/>
      <c r="J105" s="108"/>
      <c r="K105" s="108"/>
      <c r="L105" s="108"/>
      <c r="M105" s="108"/>
      <c r="N105" s="108"/>
      <c r="O105" s="108"/>
    </row>
    <row r="106" spans="2:15" x14ac:dyDescent="0.25">
      <c r="B106" s="108"/>
      <c r="C106" s="108"/>
      <c r="D106" s="108"/>
      <c r="E106" s="108"/>
      <c r="F106" s="108"/>
      <c r="G106" s="108"/>
      <c r="H106" s="108"/>
      <c r="I106" s="108"/>
      <c r="J106" s="108"/>
      <c r="K106" s="108"/>
      <c r="L106" s="108"/>
      <c r="M106" s="108"/>
      <c r="N106" s="108"/>
      <c r="O106" s="108"/>
    </row>
    <row r="107" spans="2:15" x14ac:dyDescent="0.25">
      <c r="B107" s="108"/>
      <c r="C107" s="108"/>
      <c r="D107" s="108"/>
      <c r="E107" s="108"/>
      <c r="F107" s="108"/>
      <c r="G107" s="108"/>
      <c r="H107" s="108"/>
      <c r="I107" s="108"/>
      <c r="J107" s="108"/>
      <c r="K107" s="108"/>
      <c r="L107" s="108"/>
      <c r="M107" s="108"/>
      <c r="N107" s="108"/>
      <c r="O107" s="108"/>
    </row>
    <row r="108" spans="2:15" x14ac:dyDescent="0.25">
      <c r="B108" s="108"/>
      <c r="C108" s="108"/>
      <c r="D108" s="108"/>
      <c r="E108" s="108"/>
      <c r="F108" s="108"/>
      <c r="G108" s="108"/>
      <c r="H108" s="108"/>
      <c r="I108" s="108"/>
      <c r="J108" s="108"/>
      <c r="K108" s="108"/>
      <c r="L108" s="108"/>
      <c r="M108" s="108"/>
      <c r="N108" s="108"/>
      <c r="O108" s="108"/>
    </row>
    <row r="109" spans="2:15" x14ac:dyDescent="0.25">
      <c r="B109" s="108"/>
      <c r="C109" s="108"/>
      <c r="D109" s="108"/>
      <c r="E109" s="108"/>
      <c r="F109" s="108"/>
      <c r="G109" s="108"/>
      <c r="H109" s="108"/>
      <c r="I109" s="108"/>
      <c r="J109" s="108"/>
      <c r="K109" s="108"/>
      <c r="L109" s="108"/>
      <c r="M109" s="108"/>
      <c r="N109" s="108"/>
      <c r="O109" s="108"/>
    </row>
    <row r="110" spans="2:15" x14ac:dyDescent="0.25">
      <c r="B110" s="108"/>
      <c r="C110" s="108"/>
      <c r="D110" s="108"/>
      <c r="E110" s="108"/>
      <c r="F110" s="108"/>
      <c r="G110" s="108"/>
      <c r="H110" s="108"/>
      <c r="I110" s="108"/>
      <c r="J110" s="108"/>
      <c r="K110" s="108"/>
      <c r="L110" s="108"/>
      <c r="M110" s="108"/>
      <c r="N110" s="108"/>
      <c r="O110" s="108"/>
    </row>
    <row r="111" spans="2:15" x14ac:dyDescent="0.25">
      <c r="B111" s="108"/>
      <c r="C111" s="108"/>
      <c r="D111" s="108"/>
      <c r="E111" s="108"/>
      <c r="F111" s="108"/>
      <c r="G111" s="108"/>
      <c r="H111" s="108"/>
      <c r="I111" s="108"/>
      <c r="J111" s="108"/>
      <c r="K111" s="108"/>
      <c r="L111" s="108"/>
      <c r="M111" s="108"/>
      <c r="N111" s="108"/>
      <c r="O111" s="108"/>
    </row>
  </sheetData>
  <mergeCells count="6">
    <mergeCell ref="T14:T15"/>
    <mergeCell ref="T4:T5"/>
    <mergeCell ref="T6:T7"/>
    <mergeCell ref="T8:T9"/>
    <mergeCell ref="T10:T11"/>
    <mergeCell ref="T12:T13"/>
  </mergeCells>
  <conditionalFormatting sqref="G6:G17">
    <cfRule type="dataBar" priority="92">
      <dataBar>
        <cfvo type="min"/>
        <cfvo type="max"/>
        <color rgb="FFFFB628"/>
      </dataBar>
      <extLst>
        <ext xmlns:x14="http://schemas.microsoft.com/office/spreadsheetml/2009/9/main" uri="{B025F937-C7B1-47D3-B67F-A62EFF666E3E}">
          <x14:id>{8143A15D-779E-4EA9-9B7D-72D4382708F1}</x14:id>
        </ext>
      </extLst>
    </cfRule>
  </conditionalFormatting>
  <conditionalFormatting sqref="H6:H17">
    <cfRule type="dataBar" priority="91">
      <dataBar>
        <cfvo type="min"/>
        <cfvo type="max"/>
        <color rgb="FF638EC6"/>
      </dataBar>
      <extLst>
        <ext xmlns:x14="http://schemas.microsoft.com/office/spreadsheetml/2009/9/main" uri="{B025F937-C7B1-47D3-B67F-A62EFF666E3E}">
          <x14:id>{684AEB6D-2B1F-48CB-B478-6DF49A5BD0AD}</x14:id>
        </ext>
      </extLst>
    </cfRule>
  </conditionalFormatting>
  <conditionalFormatting sqref="AN26:AN36">
    <cfRule type="colorScale" priority="85">
      <colorScale>
        <cfvo type="min"/>
        <cfvo type="max"/>
        <color rgb="FFFFEF9C"/>
        <color rgb="FF63BE7B"/>
      </colorScale>
    </cfRule>
    <cfRule type="colorScale" priority="90">
      <colorScale>
        <cfvo type="min"/>
        <cfvo type="percentile" val="50"/>
        <cfvo type="max"/>
        <color rgb="FFF8696B"/>
        <color rgb="FFFFEB84"/>
        <color rgb="FF63BE7B"/>
      </colorScale>
    </cfRule>
  </conditionalFormatting>
  <conditionalFormatting sqref="AO25:AO36">
    <cfRule type="colorScale" priority="59">
      <colorScale>
        <cfvo type="min"/>
        <cfvo type="max"/>
        <color rgb="FFFCFCFF"/>
        <color rgb="FFF8696B"/>
      </colorScale>
    </cfRule>
    <cfRule type="colorScale" priority="89">
      <colorScale>
        <cfvo type="min"/>
        <cfvo type="percentile" val="50"/>
        <cfvo type="max"/>
        <color rgb="FFF8696B"/>
        <color rgb="FFFFEB84"/>
        <color rgb="FF63BE7B"/>
      </colorScale>
    </cfRule>
  </conditionalFormatting>
  <conditionalFormatting sqref="AP25:AP36">
    <cfRule type="colorScale" priority="58">
      <colorScale>
        <cfvo type="min"/>
        <cfvo type="max"/>
        <color rgb="FFFCFCFF"/>
        <color rgb="FFF8696B"/>
      </colorScale>
    </cfRule>
  </conditionalFormatting>
  <conditionalFormatting sqref="AQ25:AQ36">
    <cfRule type="colorScale" priority="57">
      <colorScale>
        <cfvo type="min"/>
        <cfvo type="max"/>
        <color rgb="FFFCFCFF"/>
        <color rgb="FFF8696B"/>
      </colorScale>
    </cfRule>
  </conditionalFormatting>
  <conditionalFormatting sqref="AR25:AR36">
    <cfRule type="colorScale" priority="56">
      <colorScale>
        <cfvo type="min"/>
        <cfvo type="max"/>
        <color rgb="FFFCFCFF"/>
        <color rgb="FFF8696B"/>
      </colorScale>
    </cfRule>
  </conditionalFormatting>
  <conditionalFormatting sqref="AS25:AS36">
    <cfRule type="colorScale" priority="55">
      <colorScale>
        <cfvo type="min"/>
        <cfvo type="max"/>
        <color rgb="FFFCFCFF"/>
        <color rgb="FFF8696B"/>
      </colorScale>
    </cfRule>
  </conditionalFormatting>
  <conditionalFormatting sqref="AT25:AT36">
    <cfRule type="colorScale" priority="54">
      <colorScale>
        <cfvo type="min"/>
        <cfvo type="max"/>
        <color rgb="FFFCFCFF"/>
        <color rgb="FFF8696B"/>
      </colorScale>
    </cfRule>
  </conditionalFormatting>
  <conditionalFormatting sqref="AU25:AU36">
    <cfRule type="colorScale" priority="53">
      <colorScale>
        <cfvo type="min"/>
        <cfvo type="max"/>
        <color rgb="FFFCFCFF"/>
        <color rgb="FFF8696B"/>
      </colorScale>
    </cfRule>
  </conditionalFormatting>
  <conditionalFormatting sqref="AV25:AV36">
    <cfRule type="colorScale" priority="52">
      <colorScale>
        <cfvo type="min"/>
        <cfvo type="max"/>
        <color rgb="FFFCFCFF"/>
        <color rgb="FFF8696B"/>
      </colorScale>
    </cfRule>
  </conditionalFormatting>
  <conditionalFormatting sqref="AW25:AW36">
    <cfRule type="colorScale" priority="51">
      <colorScale>
        <cfvo type="min"/>
        <cfvo type="max"/>
        <color rgb="FFFCFCFF"/>
        <color rgb="FFF8696B"/>
      </colorScale>
    </cfRule>
  </conditionalFormatting>
  <conditionalFormatting sqref="AX25:AX36">
    <cfRule type="colorScale" priority="50">
      <colorScale>
        <cfvo type="min"/>
        <cfvo type="max"/>
        <color rgb="FFFCFCFF"/>
        <color rgb="FFF8696B"/>
      </colorScale>
    </cfRule>
  </conditionalFormatting>
  <conditionalFormatting sqref="AY25:AY35">
    <cfRule type="colorScale" priority="49">
      <colorScale>
        <cfvo type="min"/>
        <cfvo type="max"/>
        <color rgb="FFFCFCFF"/>
        <color rgb="FFF8696B"/>
      </colorScale>
    </cfRule>
  </conditionalFormatting>
  <conditionalFormatting sqref="AN25:AY36">
    <cfRule type="colorScale" priority="61">
      <colorScale>
        <cfvo type="min"/>
        <cfvo type="max"/>
        <color rgb="FFFCFCFF"/>
        <color rgb="FFF8696B"/>
      </colorScale>
    </cfRule>
  </conditionalFormatting>
  <conditionalFormatting sqref="AN25:AN36">
    <cfRule type="colorScale" priority="60">
      <colorScale>
        <cfvo type="min"/>
        <cfvo type="max"/>
        <color rgb="FFFCFCFF"/>
        <color rgb="FFF8696B"/>
      </colorScale>
    </cfRule>
  </conditionalFormatting>
  <conditionalFormatting sqref="X4:X15">
    <cfRule type="dataBar" priority="3">
      <dataBar>
        <cfvo type="percent" val="0"/>
        <cfvo type="percent" val="100"/>
        <color rgb="FF638EC6"/>
      </dataBar>
      <extLst>
        <ext xmlns:x14="http://schemas.microsoft.com/office/spreadsheetml/2009/9/main" uri="{B025F937-C7B1-47D3-B67F-A62EFF666E3E}">
          <x14:id>{4938943E-0BA8-4437-866F-6992F6E25A9C}</x14:id>
        </ext>
      </extLst>
    </cfRule>
    <cfRule type="dataBar" priority="1">
      <dataBar>
        <cfvo type="percent" val="$X$4"/>
        <cfvo type="percent" val="$X$5"/>
        <color rgb="FF638EC6"/>
      </dataBar>
      <extLst>
        <ext xmlns:x14="http://schemas.microsoft.com/office/spreadsheetml/2009/9/main" uri="{B025F937-C7B1-47D3-B67F-A62EFF666E3E}">
          <x14:id>{20CC5482-BA6E-4B5D-B8FE-AD2E93817232}</x14:id>
        </ext>
      </extLst>
    </cfRule>
  </conditionalFormatting>
  <pageMargins left="0.25" right="0.25" top="0.75" bottom="0.75" header="0.3" footer="0.3"/>
  <pageSetup paperSize="9" scale="31" orientation="landscape" horizontalDpi="0" verticalDpi="0" r:id="rId1"/>
  <ignoredErrors>
    <ignoredError sqref="E18:E19" formulaRange="1"/>
    <ignoredError sqref="G34" evalError="1"/>
    <ignoredError sqref="Y5 Y7 Y9 Y11 Y13" formula="1"/>
  </ignoredErrors>
  <legacyDrawing r:id="rId2"/>
  <extLst>
    <ext xmlns:x14="http://schemas.microsoft.com/office/spreadsheetml/2009/9/main" uri="{78C0D931-6437-407d-A8EE-F0AAD7539E65}">
      <x14:conditionalFormattings>
        <x14:conditionalFormatting xmlns:xm="http://schemas.microsoft.com/office/excel/2006/main">
          <x14:cfRule type="dataBar" id="{8143A15D-779E-4EA9-9B7D-72D4382708F1}">
            <x14:dataBar minLength="0" maxLength="100" border="1" negativeBarBorderColorSameAsPositive="0">
              <x14:cfvo type="autoMin"/>
              <x14:cfvo type="autoMax"/>
              <x14:borderColor rgb="FFFFB628"/>
              <x14:negativeFillColor rgb="FFFF0000"/>
              <x14:negativeBorderColor rgb="FFFF0000"/>
              <x14:axisColor rgb="FF000000"/>
            </x14:dataBar>
          </x14:cfRule>
          <xm:sqref>G6:G17</xm:sqref>
        </x14:conditionalFormatting>
        <x14:conditionalFormatting xmlns:xm="http://schemas.microsoft.com/office/excel/2006/main">
          <x14:cfRule type="dataBar" id="{684AEB6D-2B1F-48CB-B478-6DF49A5BD0AD}">
            <x14:dataBar minLength="0" maxLength="100" border="1" negativeBarBorderColorSameAsPositive="0">
              <x14:cfvo type="autoMin"/>
              <x14:cfvo type="autoMax"/>
              <x14:borderColor rgb="FF638EC6"/>
              <x14:negativeFillColor rgb="FFFF0000"/>
              <x14:negativeBorderColor rgb="FFFF0000"/>
              <x14:axisColor rgb="FF000000"/>
            </x14:dataBar>
          </x14:cfRule>
          <xm:sqref>H6:H17</xm:sqref>
        </x14:conditionalFormatting>
        <x14:conditionalFormatting xmlns:xm="http://schemas.microsoft.com/office/excel/2006/main">
          <x14:cfRule type="dataBar" id="{4938943E-0BA8-4437-866F-6992F6E25A9C}">
            <x14:dataBar minLength="0" maxLength="100" gradient="0">
              <x14:cfvo type="percent">
                <xm:f>0</xm:f>
              </x14:cfvo>
              <x14:cfvo type="percent">
                <xm:f>100</xm:f>
              </x14:cfvo>
              <x14:negativeFillColor rgb="FFFF0000"/>
              <x14:axisColor rgb="FF000000"/>
            </x14:dataBar>
          </x14:cfRule>
          <x14:cfRule type="dataBar" id="{20CC5482-BA6E-4B5D-B8FE-AD2E93817232}">
            <x14:dataBar minLength="0" maxLength="100" gradient="0">
              <x14:cfvo type="percent">
                <xm:f>$X$4</xm:f>
              </x14:cfvo>
              <x14:cfvo type="percent">
                <xm:f>$X$5</xm:f>
              </x14:cfvo>
              <x14:negativeFillColor rgb="FFFF0000"/>
              <x14:axisColor rgb="FF000000"/>
            </x14:dataBar>
          </x14:cfRule>
          <xm:sqref>X4:X15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CF8B-DA17-472F-8498-88697FC775C9}">
  <dimension ref="A1:AF37"/>
  <sheetViews>
    <sheetView workbookViewId="0"/>
  </sheetViews>
  <sheetFormatPr baseColWidth="10" defaultRowHeight="15" x14ac:dyDescent="0.25"/>
  <cols>
    <col min="1" max="1" width="22.42578125" customWidth="1"/>
    <col min="6" max="6" width="6.140625" customWidth="1"/>
    <col min="10" max="10" width="11.7109375" customWidth="1"/>
    <col min="12" max="21" width="5.7109375" customWidth="1"/>
    <col min="22" max="30" width="11.42578125" style="108" customWidth="1"/>
  </cols>
  <sheetData>
    <row r="1" spans="1:32" ht="15.75" thickBot="1" x14ac:dyDescent="0.3">
      <c r="V1" s="99"/>
      <c r="W1" s="99"/>
      <c r="X1" s="99"/>
      <c r="Y1" s="99"/>
      <c r="Z1" s="99"/>
      <c r="AA1" s="99"/>
      <c r="AB1" s="99"/>
      <c r="AC1" s="99"/>
      <c r="AD1" s="99"/>
      <c r="AE1" s="99"/>
    </row>
    <row r="2" spans="1:32" ht="15.75" thickBot="1" x14ac:dyDescent="0.3">
      <c r="E2" s="173" t="s">
        <v>166</v>
      </c>
      <c r="F2" s="174"/>
      <c r="G2" s="68" t="s">
        <v>28</v>
      </c>
      <c r="H2" s="11" t="s">
        <v>131</v>
      </c>
      <c r="I2" s="11" t="s">
        <v>132</v>
      </c>
      <c r="K2" s="88" t="s">
        <v>167</v>
      </c>
      <c r="L2" s="69"/>
      <c r="M2" s="45"/>
      <c r="N2" s="46"/>
      <c r="O2" s="46"/>
      <c r="P2" s="47"/>
      <c r="Q2" s="45"/>
      <c r="R2" s="45"/>
      <c r="S2" s="46"/>
      <c r="T2" s="64"/>
      <c r="U2" s="45"/>
      <c r="V2" s="99"/>
      <c r="W2" s="99"/>
      <c r="X2" s="99"/>
      <c r="Y2" s="99"/>
      <c r="Z2" s="99"/>
      <c r="AA2" s="99"/>
      <c r="AB2" s="99"/>
      <c r="AC2" s="99"/>
      <c r="AD2" s="99"/>
      <c r="AE2" s="99"/>
    </row>
    <row r="3" spans="1:32" x14ac:dyDescent="0.25">
      <c r="A3" s="113" t="s">
        <v>176</v>
      </c>
      <c r="B3" t="s">
        <v>49</v>
      </c>
      <c r="D3" s="45" t="s">
        <v>66</v>
      </c>
      <c r="E3" s="114">
        <v>7097786</v>
      </c>
      <c r="F3" s="115">
        <f>E3/SUM(E$3:E$11)</f>
        <v>0.23299975415782345</v>
      </c>
      <c r="G3" s="13">
        <f ca="1">(H3-I3/(COUNTA(B$3:B$11)/2))/100000</f>
        <v>85.364626317584452</v>
      </c>
      <c r="H3" s="20">
        <f>E3+M$4*E$4+M$5*E$5+M$6*E$6+M$7*E$7+M$8*E$8+M$9*E$9+M$10*E$10+M$11*E$11</f>
        <v>9147008.3388809524</v>
      </c>
      <c r="I3" s="67">
        <f ca="1">M$21*E$4+M$22*E$5+M$23*E$6+M$24*E$7+M$25*E$8+M$26*E$9+M$27*E$10+M$28*E$11+B14*M$29+B16*M$30</f>
        <v>2747455.6820512824</v>
      </c>
      <c r="J3" s="87">
        <f>SUM(L3:U3)</f>
        <v>1</v>
      </c>
      <c r="K3" s="45" t="s">
        <v>66</v>
      </c>
      <c r="L3" s="4">
        <v>0.32</v>
      </c>
      <c r="M3" s="70"/>
      <c r="N3" s="4">
        <f>(W3-MIN(V3:AD3))/AE3</f>
        <v>0.11102040816326531</v>
      </c>
      <c r="O3" s="4">
        <f t="shared" ref="O3:U11" si="0">(X3-MIN($V3:$AD3))/$AE3</f>
        <v>2.7755102040816326E-2</v>
      </c>
      <c r="P3" s="4">
        <f t="shared" si="0"/>
        <v>0</v>
      </c>
      <c r="Q3" s="4">
        <f t="shared" si="0"/>
        <v>0.11102040816326531</v>
      </c>
      <c r="R3" s="4">
        <f t="shared" si="0"/>
        <v>9.7142857142857142E-2</v>
      </c>
      <c r="S3" s="4">
        <f t="shared" si="0"/>
        <v>6.9387755102040816E-2</v>
      </c>
      <c r="T3" s="4">
        <f t="shared" si="0"/>
        <v>0.15265306122448979</v>
      </c>
      <c r="U3" s="4">
        <f t="shared" si="0"/>
        <v>0.11102040816326531</v>
      </c>
      <c r="V3" s="85"/>
      <c r="W3" s="85">
        <f>Proposition!S$24+Proposition!S$29+Proposition!S$31+Proposition!S$38+Proposition!S$40</f>
        <v>-1</v>
      </c>
      <c r="X3" s="85">
        <f>Proposition!S$26+Proposition!S$29+Proposition!S$31+Proposition!S$38+Proposition!S$41+Proposition!S$42+Proposition!S$43</f>
        <v>-7</v>
      </c>
      <c r="Y3" s="85">
        <f>Proposition!S$26+Proposition!S$29+Proposition!S$31+Proposition!S$35+Proposition!S$38</f>
        <v>-9</v>
      </c>
      <c r="Z3" s="85">
        <f>Proposition!S$27+Proposition!S$28+Proposition!S$31</f>
        <v>-1</v>
      </c>
      <c r="AA3" s="85">
        <f>Proposition!S$27+Proposition!S$28+Proposition!S$31+Proposition!S$34</f>
        <v>-2</v>
      </c>
      <c r="AB3" s="85">
        <f>Proposition!S$27+Proposition!S$29+Proposition!S$31</f>
        <v>-4</v>
      </c>
      <c r="AC3" s="85">
        <f>Proposition!S$24+Proposition!S$25+Proposition!S$31</f>
        <v>2</v>
      </c>
      <c r="AD3" s="85">
        <f>Proposition!S$27+Proposition!S$28+Proposition!S$31</f>
        <v>-1</v>
      </c>
      <c r="AE3" s="99">
        <f>SUM(W3-MIN(V3:AD3),X3-MIN(V3:AD3),Y3-MIN(V3:AD3),Z3-MIN(V3:AD3),AA3-MIN(V3:AD3),AB3-MIN(V3:AD3),AC3-MIN(V3:AD3),AD3-MIN(V3:AD3))+((L3*SUM(W3-MIN(V3:AD3),X3-MIN(V3:AD3),Y3-MIN(V3:AD3),Z3-MIN(V3:AD3),AA3-MIN(V3:AD3),AB3-MIN(V3:AD3),AC3-MIN(V3:AD3),AD3-MIN(V3:AD3)))/(1-L3))</f>
        <v>72.058823529411768</v>
      </c>
    </row>
    <row r="4" spans="1:32" x14ac:dyDescent="0.25">
      <c r="A4" s="113" t="s">
        <v>177</v>
      </c>
      <c r="B4" t="s">
        <v>50</v>
      </c>
      <c r="D4" s="46" t="s">
        <v>108</v>
      </c>
      <c r="E4" s="114">
        <v>6348375</v>
      </c>
      <c r="F4" s="115">
        <f t="shared" ref="F4:F11" si="1">E4/SUM(E$3:E$11)</f>
        <v>0.20839876185357975</v>
      </c>
      <c r="G4" s="13">
        <f t="shared" ref="G4:G11" ca="1" si="2">(H4-I4/(COUNTA(B$3:B$11)/2))/100000</f>
        <v>98.927226505863572</v>
      </c>
      <c r="H4" s="20">
        <f>E4+N$3*E$3+N$5*E$5+N$6*E$6+N$7*E$7+N$8*E$8+N$9*E$9+N$10*E$10+N$11*E$11</f>
        <v>10249629.40047634</v>
      </c>
      <c r="I4" s="67">
        <f ca="1">N$20*E$3+N$22*E$5+N$23*E$6+N$24*E$7+N$25*E$8+N$26*E$9+N$27*E$10+N$28*E$11+B14*N$29+B16*N$30</f>
        <v>1606080.3745049261</v>
      </c>
      <c r="J4" s="87">
        <f t="shared" ref="J4:J30" si="3">SUM(L4:U4)</f>
        <v>1</v>
      </c>
      <c r="K4" s="46" t="s">
        <v>108</v>
      </c>
      <c r="L4" s="4">
        <v>0.32</v>
      </c>
      <c r="M4" s="4">
        <f>(V4-MIN($V4:$AD4))/$AE4</f>
        <v>0.10879999999999999</v>
      </c>
      <c r="N4" s="71"/>
      <c r="O4" s="4">
        <f t="shared" si="0"/>
        <v>0.13600000000000001</v>
      </c>
      <c r="P4" s="4">
        <f t="shared" si="0"/>
        <v>8.1599999999999992E-2</v>
      </c>
      <c r="Q4" s="4">
        <f t="shared" si="0"/>
        <v>5.4399999999999997E-2</v>
      </c>
      <c r="R4" s="4">
        <f t="shared" si="0"/>
        <v>0</v>
      </c>
      <c r="S4" s="4">
        <f t="shared" si="0"/>
        <v>0.13600000000000001</v>
      </c>
      <c r="T4" s="4">
        <f t="shared" si="0"/>
        <v>0.10879999999999999</v>
      </c>
      <c r="U4" s="4">
        <f t="shared" si="0"/>
        <v>5.4399999999999997E-2</v>
      </c>
      <c r="V4" s="85">
        <f>Proposition!S$24+Proposition!S$29+Proposition!S$31+Proposition!S$38+Proposition!S$44</f>
        <v>-2</v>
      </c>
      <c r="W4" s="85"/>
      <c r="X4" s="85">
        <f>Proposition!S$24+Proposition!S$26+Proposition!S$25+Proposition!S$28+Proposition!S$30+Proposition!S$33+Proposition!S$38+Proposition!S$41+Proposition!S$42+Proposition!S$43</f>
        <v>-1</v>
      </c>
      <c r="Y4" s="85">
        <f>Proposition!S$24+Proposition!S$26+Proposition!S$28+Proposition!S$31+Proposition!S$34+Proposition!S$38</f>
        <v>-3</v>
      </c>
      <c r="Z4" s="85">
        <f>Proposition!S$27+Proposition!S$29+Proposition!S$31</f>
        <v>-4</v>
      </c>
      <c r="AA4" s="85">
        <f>Proposition!S$27+Proposition!S$29+Proposition!S$31+Proposition!S$35</f>
        <v>-6</v>
      </c>
      <c r="AB4" s="85">
        <f>Proposition!S$27+Proposition!S$28+Proposition!S$31</f>
        <v>-1</v>
      </c>
      <c r="AC4" s="85">
        <f>Proposition!S$27+Proposition!S$31</f>
        <v>-2</v>
      </c>
      <c r="AD4" s="85">
        <f>Proposition!S$27+Proposition!S$29+Proposition!S$31</f>
        <v>-4</v>
      </c>
      <c r="AE4" s="99">
        <f>SUM(V4-MIN(V4:AD4),X4-MIN(V4:AD4),Y4-MIN(V4:AD4),Z4-MIN(V4:AD4),AA4-MIN(V4:AD4),AB4-MIN(V4:AD4),AC4-MIN(V4:AD4),AD4-MIN(V4:AD4))+((L4*SUM(V4-MIN(V4:AD4),X4-MIN(V4:AD4),Y4-MIN(V4:AD4),Z4-MIN(V4:AD4),AA4-MIN(V4:AD4),AB4-MIN(V4:AD4),AC4-MIN(V4:AD4),AD4-MIN(V4:AD4)))/(1-L4))</f>
        <v>36.764705882352942</v>
      </c>
    </row>
    <row r="5" spans="1:32" x14ac:dyDescent="0.25">
      <c r="A5" s="113" t="s">
        <v>178</v>
      </c>
      <c r="B5" t="s">
        <v>127</v>
      </c>
      <c r="D5" s="46" t="s">
        <v>108</v>
      </c>
      <c r="E5" s="114">
        <v>5658796</v>
      </c>
      <c r="F5" s="115">
        <f t="shared" si="1"/>
        <v>0.18576188079342978</v>
      </c>
      <c r="G5" s="13">
        <f t="shared" ca="1" si="2"/>
        <v>67.198674366612039</v>
      </c>
      <c r="H5" s="20">
        <f>E5+O$4*E$4+O$3*E$3+O$6*E$6+O$7*E$7+O$8*E$8+O$9*E$9+O$10*E$10+O$11*E$11</f>
        <v>7834064.8342653057</v>
      </c>
      <c r="I5" s="67">
        <f ca="1">O$21*E$4+O$20*E$3+O$23*E$6+O$24*E$7+O$25*E$8+O$26*E$9+O$27*E$10+O$28*E$11+B14*O$29+B16*O$30</f>
        <v>5013888.2892184537</v>
      </c>
      <c r="J5" s="87">
        <f t="shared" si="3"/>
        <v>1</v>
      </c>
      <c r="K5" s="46" t="s">
        <v>108</v>
      </c>
      <c r="L5" s="4">
        <v>0.32</v>
      </c>
      <c r="M5" s="78">
        <f>(V5-MIN($V5:$AD5))/$AE5</f>
        <v>0</v>
      </c>
      <c r="N5" s="78">
        <f>(W5-MIN($V5:$AD5))/$AE5</f>
        <v>0.2069565217391304</v>
      </c>
      <c r="O5" s="71"/>
      <c r="P5" s="4">
        <f t="shared" si="0"/>
        <v>2.9565217391304344E-2</v>
      </c>
      <c r="Q5" s="4">
        <f t="shared" si="0"/>
        <v>5.9130434782608689E-2</v>
      </c>
      <c r="R5" s="4">
        <f t="shared" si="0"/>
        <v>0</v>
      </c>
      <c r="S5" s="4">
        <f t="shared" si="0"/>
        <v>0.23652173913043475</v>
      </c>
      <c r="T5" s="4">
        <f t="shared" si="0"/>
        <v>0.11826086956521738</v>
      </c>
      <c r="U5" s="4">
        <f t="shared" si="0"/>
        <v>2.9565217391304344E-2</v>
      </c>
      <c r="V5" s="112">
        <f>Proposition!S$26+Proposition!S$29+Proposition!S$31+Proposition!S$38+Proposition!S$44</f>
        <v>-6</v>
      </c>
      <c r="W5" s="112">
        <f>Proposition!S$24+Proposition!S$26+Proposition!S$25+Proposition!S$28+Proposition!S$30+Proposition!S$33+Proposition!S$38+Proposition!S$40</f>
        <v>1</v>
      </c>
      <c r="X5" s="85"/>
      <c r="Y5" s="85">
        <f>Proposition!S$26+Proposition!S$28+Proposition!S$31+Proposition!S$34+Proposition!S$38</f>
        <v>-5</v>
      </c>
      <c r="Z5" s="85">
        <f>Proposition!S$27+Proposition!S$29+Proposition!S$31</f>
        <v>-4</v>
      </c>
      <c r="AA5" s="85">
        <f>Proposition!S$27+Proposition!S$29+Proposition!S$31+Proposition!S$35</f>
        <v>-6</v>
      </c>
      <c r="AB5" s="85">
        <f>Proposition!S$24+Proposition!S$28+Proposition!S$31</f>
        <v>2</v>
      </c>
      <c r="AC5" s="85">
        <f>Proposition!S$27+Proposition!S$31</f>
        <v>-2</v>
      </c>
      <c r="AD5" s="85">
        <f>Proposition!S$26+Proposition!S$29+Proposition!S$31</f>
        <v>-5</v>
      </c>
      <c r="AE5" s="99">
        <f>SUM(V5-MIN(V5:AD5),W5-MIN(V5:AD5),Y5-MIN(V5:AD5),Z5-MIN(V5:AD5),AA5-MIN(V5:AD5),AB5-MIN(V5:AD5),AC5-MIN(V5:AD5),AD5-MIN(V5:AD5))+((L5*SUM(V5-MIN(V5:AD5),W5-MIN(V5:AD5),Y5-MIN(V5:AD5),Z5-MIN(V5:AD5),AA5-MIN(V5:AD5),AB5-MIN(V5:AD5),AC5-MIN(V5:AD5),AD5-MIN(V5:AD5)))/(1-L5))</f>
        <v>33.82352941176471</v>
      </c>
    </row>
    <row r="6" spans="1:32" x14ac:dyDescent="0.25">
      <c r="A6" s="130"/>
      <c r="B6" t="s">
        <v>51</v>
      </c>
      <c r="D6" s="47" t="s">
        <v>60</v>
      </c>
      <c r="E6" s="114">
        <v>4570838</v>
      </c>
      <c r="F6" s="115">
        <f t="shared" si="1"/>
        <v>0.15004737115140376</v>
      </c>
      <c r="G6" s="13">
        <f t="shared" ca="1" si="2"/>
        <v>40.279927998356854</v>
      </c>
      <c r="H6" s="20">
        <f>E6+P$4*E$4+P$5*E$5+P$3*E$3+P$7*E$7+P$8*E$8+P$9*E$9+P$10*E$10+P$11*E$11</f>
        <v>5325441.861913044</v>
      </c>
      <c r="I6" s="67">
        <f ca="1">P$21*E$4+P$22*E$5+P$20*E$3+P$24*E$7+P$25*E$8+P$26*E$9+P$27*E$10+P$28*E$11+B14*P$29+B16*P$30</f>
        <v>5838520.7793481126</v>
      </c>
      <c r="J6" s="87">
        <f t="shared" si="3"/>
        <v>0.99999999999999978</v>
      </c>
      <c r="K6" s="47" t="s">
        <v>60</v>
      </c>
      <c r="L6" s="4">
        <v>0.32</v>
      </c>
      <c r="M6" s="79">
        <f t="shared" ref="M6:N11" si="4">(V6-MIN($V6:$AD6))/$AE6</f>
        <v>2.8333333333333332E-2</v>
      </c>
      <c r="N6" s="79">
        <f t="shared" si="4"/>
        <v>0.19833333333333331</v>
      </c>
      <c r="O6" s="4">
        <f t="shared" si="0"/>
        <v>8.4999999999999992E-2</v>
      </c>
      <c r="P6" s="71"/>
      <c r="Q6" s="4">
        <f t="shared" si="0"/>
        <v>0</v>
      </c>
      <c r="R6" s="4">
        <f t="shared" si="0"/>
        <v>2.8333333333333332E-2</v>
      </c>
      <c r="S6" s="4">
        <f t="shared" si="0"/>
        <v>0.14166666666666666</v>
      </c>
      <c r="T6" s="4">
        <f t="shared" si="0"/>
        <v>0.14166666666666666</v>
      </c>
      <c r="U6" s="4">
        <f t="shared" si="0"/>
        <v>5.6666666666666664E-2</v>
      </c>
      <c r="V6" s="112">
        <f>Proposition!S$26+Proposition!S$29+Proposition!S$31+Proposition!S$38+Proposition!S$44</f>
        <v>-6</v>
      </c>
      <c r="W6" s="112">
        <f>Proposition!S$24+Proposition!S$26+Proposition!S$28+Proposition!S$31+Proposition!S$38+Proposition!S$40</f>
        <v>0</v>
      </c>
      <c r="X6" s="85">
        <f>Proposition!S$26+Proposition!S$28+Proposition!S$31+Proposition!S$38+Proposition!S$41+Proposition!S$42+Proposition!S$43</f>
        <v>-4</v>
      </c>
      <c r="Y6" s="85"/>
      <c r="Z6" s="85">
        <f>Proposition!S$26+Proposition!S$29+Proposition!S$31+Proposition!S$33</f>
        <v>-7</v>
      </c>
      <c r="AA6" s="85">
        <f>Proposition!S$27+Proposition!S$29+Proposition!S$31+Proposition!S$36</f>
        <v>-6</v>
      </c>
      <c r="AB6" s="85">
        <f>Proposition!S$26+Proposition!S$28+Proposition!S$31</f>
        <v>-2</v>
      </c>
      <c r="AC6" s="85">
        <f>Proposition!S$27+Proposition!S$31</f>
        <v>-2</v>
      </c>
      <c r="AD6" s="85">
        <f>Proposition!S$26+Proposition!S$29+Proposition!S$31</f>
        <v>-5</v>
      </c>
      <c r="AE6" s="99">
        <f>SUM(V6-MIN(V6:AD6),W6-MIN(V6:AD6),X6-MIN(V6:AD6),Z6-MIN(V6:AD6),AA6-MIN(V6:AD6),AB6-MIN(V6:AD6),AC6-MIN(V6:AD6),AD6-MIN(V6:AD6))+((L6*SUM(V6-MIN(V6:AD6),W6-MIN(V6:AD6),X6-MIN(V6:AD6),Z6-MIN(V6:AD6),AA6-MIN(V6:AD6),AB6-MIN(V6:AD6),AC6-MIN(V6:AD6),AD6-MIN(V6:AD6)))/(1-L6))</f>
        <v>35.294117647058826</v>
      </c>
    </row>
    <row r="7" spans="1:32" x14ac:dyDescent="0.25">
      <c r="A7" s="130"/>
      <c r="B7" t="s">
        <v>115</v>
      </c>
      <c r="D7" s="45" t="s">
        <v>98</v>
      </c>
      <c r="E7" s="114">
        <v>2632460</v>
      </c>
      <c r="F7" s="115">
        <f t="shared" si="1"/>
        <v>8.6416036328836057E-2</v>
      </c>
      <c r="G7" s="13">
        <f t="shared" ca="1" si="2"/>
        <v>39.976876086956139</v>
      </c>
      <c r="H7" s="20">
        <f>E7+Q$4*E$4+Q$5*E$5+Q$6*E$6+Q$3*E$3+Q$8*E$8+Q$9*E$9+Q$10*E$10+Q$11*E$11</f>
        <v>4831724.6910301689</v>
      </c>
      <c r="I7" s="67">
        <f ca="1">Q$21*E$4+Q$22*E$5+Q$23*E$6+Q$20*E$3+Q$25*E$8+Q$26*E$9+Q$27*E$10+Q$28*E$11+B14*Q$29+B16*Q$30</f>
        <v>3753166.8705054955</v>
      </c>
      <c r="J7" s="87">
        <f t="shared" si="3"/>
        <v>0.99999999999999989</v>
      </c>
      <c r="K7" s="45" t="s">
        <v>98</v>
      </c>
      <c r="L7" s="4">
        <v>0.16</v>
      </c>
      <c r="M7" s="79">
        <f t="shared" si="4"/>
        <v>0.1512</v>
      </c>
      <c r="N7" s="79">
        <f t="shared" si="4"/>
        <v>0.1176</v>
      </c>
      <c r="O7" s="4">
        <f t="shared" si="0"/>
        <v>8.3999999999999991E-2</v>
      </c>
      <c r="P7" s="4">
        <f t="shared" si="0"/>
        <v>0</v>
      </c>
      <c r="Q7" s="71"/>
      <c r="R7" s="4">
        <f t="shared" si="0"/>
        <v>8.3999999999999991E-2</v>
      </c>
      <c r="S7" s="4">
        <f t="shared" si="0"/>
        <v>0.13439999999999999</v>
      </c>
      <c r="T7" s="4">
        <f t="shared" si="0"/>
        <v>0.13439999999999999</v>
      </c>
      <c r="U7" s="4">
        <f t="shared" si="0"/>
        <v>0.13439999999999999</v>
      </c>
      <c r="V7" s="112">
        <f>Proposition!S$27+Proposition!S$28+Proposition!S$31+Proposition!S$44</f>
        <v>0</v>
      </c>
      <c r="W7" s="112">
        <f>Proposition!S$27+Proposition!S$29+Proposition!S$31+Proposition!S$40</f>
        <v>-2</v>
      </c>
      <c r="X7" s="85">
        <f>Proposition!S$27+Proposition!S$29+Proposition!S$31+Proposition!S$41+Proposition!S$42+Proposition!S$43</f>
        <v>-4</v>
      </c>
      <c r="Y7" s="85">
        <f>Proposition!S$26+Proposition!S$29+Proposition!S$31+Proposition!S$33+Proposition!S$35</f>
        <v>-9</v>
      </c>
      <c r="Z7" s="85"/>
      <c r="AA7" s="85">
        <f>Proposition!S$27+Proposition!S$28+Proposition!S$31+Proposition!S$33+Proposition!S$34</f>
        <v>-4</v>
      </c>
      <c r="AB7" s="85">
        <f>Proposition!S$24+Proposition!S$29+Proposition!S$31</f>
        <v>-1</v>
      </c>
      <c r="AC7" s="85">
        <f>Proposition!S$24+Proposition!S$31+Proposition!S$33</f>
        <v>-1</v>
      </c>
      <c r="AD7" s="85">
        <f>Proposition!S$27+Proposition!S$28+Proposition!S$31</f>
        <v>-1</v>
      </c>
      <c r="AE7" s="99">
        <f>SUM(V7-MIN(V7:AD7),W7-MIN(V7:AD7),X7-MIN(V7:AD7),Y7-MIN(V7:AD7),AA7-MIN(V7:AD7),AB7-MIN(V7:AD7),AC7-MIN(V7:AD7),AD7-MIN(V7:AD7))+((L7*SUM(V7-MIN(V7:AD7),W7-MIN(V7:AD7),X7-MIN(V7:AD7),Y7-MIN(V7:AD7),AA7-MIN(V7:AD7),AB7-MIN(V7:AD7),AC7-MIN(V7:AD7),AD7-MIN(V7:AD7)))/(1-L7))</f>
        <v>59.523809523809526</v>
      </c>
    </row>
    <row r="8" spans="1:32" x14ac:dyDescent="0.25">
      <c r="A8" s="130"/>
      <c r="B8" t="s">
        <v>101</v>
      </c>
      <c r="D8" s="45" t="s">
        <v>76</v>
      </c>
      <c r="E8" s="114">
        <v>1615552</v>
      </c>
      <c r="F8" s="115">
        <f t="shared" si="1"/>
        <v>5.3033892375619666E-2</v>
      </c>
      <c r="G8" s="13">
        <f t="shared" ca="1" si="2"/>
        <v>14.973723443490098</v>
      </c>
      <c r="H8" s="20">
        <f>E8+R$4*E$4+R$5*E$5+R$6*E$6+R$7*E$7+R$3*E$3+R$9*E$9+R$10*E$10+R$11*E$11</f>
        <v>2812921.7640952379</v>
      </c>
      <c r="I8" s="67">
        <f ca="1">R$21*E$4+R$22*E$5+R$23*E$6+R$24*E$7+R$20*E$3+R$26*E$9+R$27*E$10+R$28*E$11+B14*R$29+B16*R$30</f>
        <v>5919972.3888580268</v>
      </c>
      <c r="J8" s="87">
        <f t="shared" si="3"/>
        <v>1</v>
      </c>
      <c r="K8" s="45" t="s">
        <v>76</v>
      </c>
      <c r="L8" s="4">
        <v>0.08</v>
      </c>
      <c r="M8" s="79">
        <f t="shared" si="4"/>
        <v>0.15771428571428572</v>
      </c>
      <c r="N8" s="79">
        <f t="shared" si="4"/>
        <v>0.10514285714285715</v>
      </c>
      <c r="O8" s="4">
        <f t="shared" si="0"/>
        <v>5.2571428571428575E-2</v>
      </c>
      <c r="P8" s="4">
        <f t="shared" si="0"/>
        <v>0</v>
      </c>
      <c r="Q8" s="4">
        <f t="shared" si="0"/>
        <v>0.13142857142857145</v>
      </c>
      <c r="R8" s="71"/>
      <c r="S8" s="4">
        <f t="shared" si="0"/>
        <v>0.15771428571428572</v>
      </c>
      <c r="T8" s="4">
        <f t="shared" si="0"/>
        <v>0.10514285714285715</v>
      </c>
      <c r="U8" s="4">
        <f t="shared" si="0"/>
        <v>0.2102857142857143</v>
      </c>
      <c r="V8" s="112">
        <f>Proposition!S$27+Proposition!S$28+Proposition!S$31+Proposition!S$44</f>
        <v>0</v>
      </c>
      <c r="W8" s="112">
        <f>Proposition!S$27+Proposition!S$29+Proposition!S$31+Proposition!S$40</f>
        <v>-2</v>
      </c>
      <c r="X8" s="85">
        <f>Proposition!S$27+Proposition!S$29+Proposition!S$31+Proposition!S$41+Proposition!S$42+Proposition!S$43</f>
        <v>-4</v>
      </c>
      <c r="Y8" s="85">
        <f>Proposition!S$27+Proposition!S$29+Proposition!S$31+Proposition!S$36</f>
        <v>-6</v>
      </c>
      <c r="Z8" s="85">
        <f>Proposition!S$27+Proposition!S$28+Proposition!S$31</f>
        <v>-1</v>
      </c>
      <c r="AA8" s="85"/>
      <c r="AB8" s="85">
        <f>Proposition!S$24+Proposition!S$25+Proposition!S$29+Proposition!S$31</f>
        <v>0</v>
      </c>
      <c r="AC8" s="85">
        <f>Proposition!S$27+Proposition!S$31</f>
        <v>-2</v>
      </c>
      <c r="AD8" s="85">
        <f>Proposition!S$24+Proposition!S$28+Proposition!S$31</f>
        <v>2</v>
      </c>
      <c r="AE8" s="99">
        <f>SUM(V8-MIN(V8:AD8),W8-MIN(V8:AD8),X8-MIN(V8:AD8),Y8-MIN(V8:AD8),Z8-MIN(V8:AD8),AB8-MIN(V8:AD8),AC8-MIN(V8:AD8),AD8-MIN(V8:AD8))+((L8*SUM(V8-MIN(V8:AD8),W8-MIN(V8:AD8),X8-MIN(V8:AD8),Y8-MIN(V8:AD8),Z8-MIN(V8:AD8),AB8-MIN(V8:AD8),AC8-MIN(V8:AD8),AD8-MIN(V8:AD8)))/(1-L8))</f>
        <v>38.043478260869563</v>
      </c>
      <c r="AF8" s="86"/>
    </row>
    <row r="9" spans="1:32" x14ac:dyDescent="0.25">
      <c r="A9" s="130"/>
      <c r="B9" t="s">
        <v>95</v>
      </c>
      <c r="D9" s="46" t="s">
        <v>96</v>
      </c>
      <c r="E9" s="114">
        <v>1443186</v>
      </c>
      <c r="F9" s="115">
        <f t="shared" si="1"/>
        <v>4.7375615889801777E-2</v>
      </c>
      <c r="G9" s="13">
        <f t="shared" ca="1" si="2"/>
        <v>50.434565621068913</v>
      </c>
      <c r="H9" s="20">
        <f>E9+S$4*E$4+S$5*E$5+S$6*E$6+S$7*E$7+S$8*E$8+S$3*E$3+S$10*E$10+S$11*E$11</f>
        <v>5405308.207586661</v>
      </c>
      <c r="I9" s="67">
        <f ca="1">S$21*E$4+S$22*E$5+S$23*E$6+S$24*E$7+S$25*E$8+S$20*E$3+S$27*E$10+S$28*E$11+B14*S$29+B16*S$30</f>
        <v>1628332.4046589618</v>
      </c>
      <c r="J9" s="87">
        <f t="shared" si="3"/>
        <v>1.0000000000000002</v>
      </c>
      <c r="K9" s="46" t="s">
        <v>96</v>
      </c>
      <c r="L9" s="4">
        <v>0.04</v>
      </c>
      <c r="M9" s="79">
        <f t="shared" si="4"/>
        <v>4.8000000000000001E-2</v>
      </c>
      <c r="N9" s="79">
        <f t="shared" si="4"/>
        <v>0.24000000000000002</v>
      </c>
      <c r="O9" s="4">
        <f t="shared" si="0"/>
        <v>0.28800000000000003</v>
      </c>
      <c r="P9" s="4">
        <f t="shared" si="0"/>
        <v>4.8000000000000001E-2</v>
      </c>
      <c r="Q9" s="4">
        <f t="shared" si="0"/>
        <v>0.14400000000000002</v>
      </c>
      <c r="R9" s="4">
        <f t="shared" si="0"/>
        <v>9.6000000000000002E-2</v>
      </c>
      <c r="S9" s="71"/>
      <c r="T9" s="4">
        <f t="shared" si="0"/>
        <v>9.6000000000000002E-2</v>
      </c>
      <c r="U9" s="4">
        <f t="shared" si="0"/>
        <v>0</v>
      </c>
      <c r="V9" s="112">
        <f>Proposition!S$27+Proposition!S$29+Proposition!S$31+Proposition!S$44</f>
        <v>-3</v>
      </c>
      <c r="W9" s="112">
        <f>Proposition!S$27+Proposition!S$28+Proposition!S$31+Proposition!S$40</f>
        <v>1</v>
      </c>
      <c r="X9" s="85">
        <f>Proposition!S$24+Proposition!S$28+Proposition!S$31+Proposition!S$41+Proposition!S$42+Proposition!S$43</f>
        <v>2</v>
      </c>
      <c r="Y9" s="85">
        <f>Proposition!S$26+Proposition!S$28+Proposition!S$31+Proposition!S$34</f>
        <v>-3</v>
      </c>
      <c r="Z9" s="85">
        <f>Proposition!S$24+Proposition!S$29+Proposition!S$31</f>
        <v>-1</v>
      </c>
      <c r="AA9" s="85">
        <f>Proposition!S$24+Proposition!S$25+Proposition!S$29+Proposition!S$31+Proposition!S$35</f>
        <v>-2</v>
      </c>
      <c r="AB9" s="85"/>
      <c r="AC9" s="85">
        <f>Proposition!S$27+Proposition!S$31</f>
        <v>-2</v>
      </c>
      <c r="AD9" s="85">
        <f>Proposition!S$27+Proposition!S$29+Proposition!S31</f>
        <v>-4</v>
      </c>
      <c r="AE9" s="99">
        <f>SUM(V9-MIN(V9:AD9),W9-MIN(V9:AD9),X9-MIN(V9:AD9),Y9-MIN(V9:AD9),Z9-MIN(V9:AD9),AA9-MIN(V9:AD9),AC9-MIN(V9:AD9),AD9-MIN(V9:AD9))+((L9*SUM(V9-MIN(V9:AD9),W9-MIN(V9:AD9),X9-MIN(V9:AD9),Y9-MIN(V9:AD9),Z9-MIN(V9:AD9),AA9-MIN(V9:AD9),AC9-MIN(V9:AD9),AD9-MIN(V9:AD9)))/(1-L9))</f>
        <v>20.833333333333332</v>
      </c>
      <c r="AF9" s="86"/>
    </row>
    <row r="10" spans="1:32" x14ac:dyDescent="0.25">
      <c r="A10" s="130"/>
      <c r="B10" t="s">
        <v>99</v>
      </c>
      <c r="D10" s="64" t="s">
        <v>100</v>
      </c>
      <c r="E10" s="114">
        <v>1010681</v>
      </c>
      <c r="F10" s="115">
        <f t="shared" si="1"/>
        <v>3.3177729581024724E-2</v>
      </c>
      <c r="G10" s="13">
        <f t="shared" ca="1" si="2"/>
        <v>44.230065722400539</v>
      </c>
      <c r="H10" s="20">
        <f>E10+T$4*E$4+T$5*E$5+T$6*E$6+T$7*E$7+T$8*E$8+T$9*E$9+T$3*E$3+T$11*E$11</f>
        <v>4775526.5754446909</v>
      </c>
      <c r="I10" s="67">
        <f ca="1">T$21*E$4+T$22*E$5+T$23*E$6+T$24*E$7+T$25*E$8+T$26*E$9+T$20*E$3+T$28*E$11+B14*T$29+B16*T$30</f>
        <v>1586340.0144208665</v>
      </c>
      <c r="J10" s="87">
        <f t="shared" si="3"/>
        <v>1</v>
      </c>
      <c r="K10" s="64" t="s">
        <v>100</v>
      </c>
      <c r="L10" s="4">
        <v>0.02</v>
      </c>
      <c r="M10" s="79">
        <f t="shared" si="4"/>
        <v>0.49</v>
      </c>
      <c r="N10" s="79">
        <f t="shared" si="4"/>
        <v>0.19600000000000001</v>
      </c>
      <c r="O10" s="4">
        <f t="shared" si="0"/>
        <v>0</v>
      </c>
      <c r="P10" s="4">
        <f t="shared" si="0"/>
        <v>0</v>
      </c>
      <c r="Q10" s="4">
        <f t="shared" si="0"/>
        <v>0.29399999999999998</v>
      </c>
      <c r="R10" s="4">
        <f t="shared" si="0"/>
        <v>0</v>
      </c>
      <c r="S10" s="4">
        <f t="shared" si="0"/>
        <v>0</v>
      </c>
      <c r="T10" s="71"/>
      <c r="U10" s="4">
        <f t="shared" si="0"/>
        <v>0</v>
      </c>
      <c r="V10" s="112">
        <f>Proposition!S$24+Proposition!S$25+Proposition!S$31+Proposition!S$44</f>
        <v>3</v>
      </c>
      <c r="W10" s="112">
        <f>Proposition!S$27+Proposition!S$31+Proposition!S$40</f>
        <v>0</v>
      </c>
      <c r="X10" s="85">
        <f>Proposition!S$27+Proposition!S$31+Proposition!S$41+Proposition!S$42+Proposition!S$43</f>
        <v>-2</v>
      </c>
      <c r="Y10" s="85">
        <f>Proposition!S$27+Proposition!S$31</f>
        <v>-2</v>
      </c>
      <c r="Z10" s="85">
        <f>Proposition!S$24+Proposition!S$31</f>
        <v>1</v>
      </c>
      <c r="AA10" s="85">
        <f>Proposition!S$27+Proposition!S$31</f>
        <v>-2</v>
      </c>
      <c r="AB10" s="85">
        <f>Proposition!S$27+Proposition!S$31</f>
        <v>-2</v>
      </c>
      <c r="AC10" s="85"/>
      <c r="AD10" s="85">
        <f>Proposition!S$27+Proposition!S$31</f>
        <v>-2</v>
      </c>
      <c r="AE10" s="99">
        <f>SUM(V10-MIN(V10:AD10),W10-MIN(V10:AD10),X10-MIN(V10:AD10),Y10-MIN(V10:AD10),Z10-MIN(V10:AD10),AA10-MIN(V10:AD10),AB10-MIN(V10:AD10),AD10-MIN(V10:AD10))+(L10*SUM(V10-MIN(V10:AD10),W10-MIN(V10:AD10),X10-MIN(V10:AD10),Y10-MIN(V10:AD10),Z10-MIN(V10:AD10),AA10-MIN(V10:AD10),AB10-MIN(V10:AD10),AD10-MIN(V10:AD10)))/(1-L10)</f>
        <v>10.204081632653061</v>
      </c>
      <c r="AF10" s="86"/>
    </row>
    <row r="11" spans="1:32" ht="15.75" thickBot="1" x14ac:dyDescent="0.3">
      <c r="A11" s="130"/>
      <c r="B11" t="s">
        <v>77</v>
      </c>
      <c r="D11" s="45" t="s">
        <v>128</v>
      </c>
      <c r="E11" s="114">
        <v>84959</v>
      </c>
      <c r="F11" s="115">
        <f t="shared" si="1"/>
        <v>2.7889578684810339E-3</v>
      </c>
      <c r="G11" s="14">
        <f t="shared" ca="1" si="2"/>
        <v>15.397685859889616</v>
      </c>
      <c r="H11" s="20">
        <f>E11+U$4*E$4+U$5*E$5+U$6*E$6+U$7*E$7+U$8*E$8+U$9*E$9+U$10*E$10+U$3*E$3</f>
        <v>2338157.5163076008</v>
      </c>
      <c r="I11" s="67">
        <f ca="1">U$21*E$4+U$22*E$5+U$23*E$6+U$24*E$7+U$25*E$8+U$26*E$9+U$27*E$10+U$20*E$3+B14*U$29+B16*U$30</f>
        <v>3592750.1864338769</v>
      </c>
      <c r="J11" s="87">
        <f t="shared" si="3"/>
        <v>0.99999999999999978</v>
      </c>
      <c r="K11" s="45" t="s">
        <v>128</v>
      </c>
      <c r="L11" s="4">
        <v>0.01</v>
      </c>
      <c r="M11" s="79">
        <f t="shared" si="4"/>
        <v>0.13749999999999998</v>
      </c>
      <c r="N11" s="79">
        <f t="shared" si="4"/>
        <v>0.13749999999999998</v>
      </c>
      <c r="O11" s="4">
        <f t="shared" si="0"/>
        <v>5.4999999999999993E-2</v>
      </c>
      <c r="P11" s="4">
        <f t="shared" si="0"/>
        <v>0</v>
      </c>
      <c r="Q11" s="4">
        <f t="shared" si="0"/>
        <v>0.16499999999999998</v>
      </c>
      <c r="R11" s="4">
        <f t="shared" si="0"/>
        <v>0.21999999999999997</v>
      </c>
      <c r="S11" s="4">
        <f t="shared" si="0"/>
        <v>0.13749999999999998</v>
      </c>
      <c r="T11" s="4">
        <f t="shared" si="0"/>
        <v>0.13749999999999998</v>
      </c>
      <c r="U11" s="71"/>
      <c r="V11" s="112">
        <f>Proposition!S$27+Proposition!S$28+Proposition!S$29+Proposition!S$31+Proposition!S$44</f>
        <v>-2</v>
      </c>
      <c r="W11" s="112">
        <f>Proposition!S$27+Proposition!S$29+Proposition!S$31+Proposition!S$40</f>
        <v>-2</v>
      </c>
      <c r="X11" s="85">
        <f>Proposition!S$26+Proposition!S$29+Proposition!S$31+Proposition!S$41+Proposition!S$42+Proposition!S$43</f>
        <v>-5</v>
      </c>
      <c r="Y11" s="85">
        <f>Proposition!S$26+Proposition!S$29+Proposition!S$31+Proposition!S$35</f>
        <v>-7</v>
      </c>
      <c r="Z11" s="85">
        <f>Proposition!S$27+Proposition!S$28+Proposition!S$31</f>
        <v>-1</v>
      </c>
      <c r="AA11" s="85">
        <f>Proposition!S$24+Proposition!S$28+Proposition!S$31+Proposition!S$34</f>
        <v>1</v>
      </c>
      <c r="AB11" s="85">
        <f>Proposition!S$27+Proposition!S$31</f>
        <v>-2</v>
      </c>
      <c r="AC11" s="85">
        <f>Proposition!S$27+Proposition!S$31</f>
        <v>-2</v>
      </c>
      <c r="AD11" s="85"/>
      <c r="AE11" s="99">
        <f>SUM(V11-MIN(V11:AD11),W11-MIN(V11:AD11),X11-MIN(V11:AD11),Y11-MIN(V11:AD11),Z11-MIN(V11:AD11),AA11-MIN(V11:AD11),AB11-MIN(V11:AD11),AC11-MIN(V11:AD11))+((L11*SUM(V11-MIN(V11:AD11),W11-MIN(V11:AD11),X11-MIN(V11:AD11),Y11-MIN(V11:AD11),Z11-MIN(V11:AD11),AA11-MIN(V11:AD11),AB11-MIN(V11:AD11),AC11-MIN(V11:AD11)))/(1-L11))</f>
        <v>36.363636363636367</v>
      </c>
      <c r="AF11" s="86"/>
    </row>
    <row r="12" spans="1:32" x14ac:dyDescent="0.25">
      <c r="H12" s="20"/>
      <c r="I12" s="67"/>
      <c r="J12" s="87"/>
      <c r="L12" s="4"/>
      <c r="M12" s="79"/>
      <c r="N12" s="79"/>
      <c r="O12" s="4"/>
      <c r="P12" s="4"/>
      <c r="Q12" s="4"/>
      <c r="R12" s="4"/>
      <c r="S12" s="4"/>
      <c r="T12" s="4"/>
      <c r="U12" s="75"/>
      <c r="V12" s="85"/>
      <c r="W12" s="85"/>
      <c r="X12" s="85"/>
      <c r="Y12" s="85"/>
      <c r="Z12" s="99"/>
      <c r="AA12" s="99"/>
      <c r="AB12" s="99"/>
      <c r="AC12" s="99"/>
      <c r="AD12" s="99"/>
      <c r="AE12" s="99"/>
      <c r="AF12" s="86"/>
    </row>
    <row r="13" spans="1:32" x14ac:dyDescent="0.25">
      <c r="A13" s="1" t="s">
        <v>129</v>
      </c>
      <c r="B13" s="1">
        <v>30462633</v>
      </c>
      <c r="H13" s="20"/>
      <c r="I13" s="67"/>
      <c r="J13" s="87"/>
      <c r="K13" t="s">
        <v>136</v>
      </c>
      <c r="L13" s="4"/>
      <c r="M13" s="79">
        <f>(M5*$E5+M6*$E6+M7*$E7+M8*$E8+M9*$E9+M10*$E10+M11*$E11)/SUM($E5:$E11)</f>
        <v>7.983553458560344E-2</v>
      </c>
      <c r="N13" s="79">
        <f>(N5*$E5+N6*$E6+N7*$E7+N8*$E8+N9*$E9+N10*$E10+N11*$E11)/SUM($E5:$E11)</f>
        <v>0.18295539179336515</v>
      </c>
      <c r="O13" s="4"/>
      <c r="P13" s="4"/>
      <c r="Q13" s="4"/>
      <c r="R13" s="4"/>
      <c r="S13" s="4"/>
      <c r="T13" s="4"/>
      <c r="U13" s="75"/>
      <c r="V13" s="85"/>
      <c r="W13" s="85"/>
      <c r="X13" s="85"/>
      <c r="Y13" s="85"/>
      <c r="Z13" s="99"/>
      <c r="AA13" s="99"/>
      <c r="AB13" s="99"/>
      <c r="AC13" s="99"/>
      <c r="AD13" s="99"/>
      <c r="AE13" s="99"/>
      <c r="AF13" s="86"/>
    </row>
    <row r="14" spans="1:32" x14ac:dyDescent="0.25">
      <c r="A14" t="s">
        <v>125</v>
      </c>
      <c r="B14">
        <v>883161</v>
      </c>
      <c r="H14" s="20"/>
      <c r="I14" s="67"/>
      <c r="J14" s="87"/>
      <c r="K14" t="s">
        <v>150</v>
      </c>
      <c r="L14" s="4"/>
      <c r="M14" s="80" t="s">
        <v>174</v>
      </c>
      <c r="N14" s="80" t="s">
        <v>175</v>
      </c>
      <c r="O14" s="4"/>
      <c r="P14" s="4"/>
      <c r="Q14" s="4"/>
      <c r="R14" s="4"/>
      <c r="S14" s="4"/>
      <c r="T14" s="4"/>
      <c r="U14" s="75"/>
      <c r="V14" s="85"/>
      <c r="W14" s="85"/>
      <c r="X14" s="85"/>
      <c r="Y14" s="85"/>
      <c r="Z14" s="99"/>
      <c r="AA14" s="99"/>
      <c r="AB14" s="99"/>
      <c r="AC14" s="99"/>
      <c r="AD14" s="99"/>
      <c r="AE14" s="99"/>
      <c r="AF14" s="86"/>
    </row>
    <row r="15" spans="1:32" x14ac:dyDescent="0.25">
      <c r="A15" s="1" t="s">
        <v>82</v>
      </c>
      <c r="B15" s="1">
        <v>31345794</v>
      </c>
      <c r="H15" s="20"/>
      <c r="I15" s="67"/>
      <c r="J15" s="87"/>
      <c r="L15" s="4"/>
      <c r="M15" s="4"/>
      <c r="N15" s="4"/>
      <c r="O15" s="4"/>
      <c r="P15" s="4"/>
      <c r="Q15" s="4"/>
      <c r="R15" s="4"/>
      <c r="S15" s="4"/>
      <c r="T15" s="4"/>
      <c r="U15" s="75"/>
      <c r="V15" s="85"/>
      <c r="W15" s="85"/>
      <c r="X15" s="85"/>
      <c r="Y15" s="85"/>
      <c r="Z15" s="99"/>
      <c r="AA15" s="99"/>
      <c r="AB15" s="99"/>
      <c r="AC15" s="99"/>
      <c r="AD15" s="99"/>
      <c r="AE15" s="99"/>
      <c r="AF15" s="86"/>
    </row>
    <row r="16" spans="1:32" x14ac:dyDescent="0.25">
      <c r="A16" t="s">
        <v>15</v>
      </c>
      <c r="B16">
        <v>8647118</v>
      </c>
      <c r="H16" s="20"/>
      <c r="I16" s="67"/>
      <c r="J16" s="87"/>
      <c r="L16" s="4"/>
      <c r="M16" s="4"/>
      <c r="N16" s="4"/>
      <c r="O16" s="4"/>
      <c r="P16" s="4"/>
      <c r="Q16" s="4"/>
      <c r="R16" s="4"/>
      <c r="S16" s="4"/>
      <c r="T16" s="4"/>
      <c r="U16" s="75"/>
      <c r="V16" s="85"/>
      <c r="W16" s="85"/>
      <c r="X16" s="85"/>
      <c r="Y16" s="85"/>
      <c r="Z16" s="99"/>
      <c r="AA16" s="99"/>
      <c r="AB16" s="99"/>
      <c r="AC16" s="99"/>
      <c r="AD16" s="99"/>
      <c r="AE16" s="99"/>
      <c r="AF16" s="86"/>
    </row>
    <row r="17" spans="1:32" x14ac:dyDescent="0.25">
      <c r="A17" s="1" t="s">
        <v>130</v>
      </c>
      <c r="B17" s="1">
        <v>39992912</v>
      </c>
      <c r="H17" s="20"/>
      <c r="I17" s="67"/>
      <c r="J17" s="87"/>
      <c r="L17" s="4"/>
      <c r="M17" s="4"/>
      <c r="N17" s="4"/>
      <c r="O17" s="4"/>
      <c r="P17" s="4"/>
      <c r="Q17" s="4"/>
      <c r="R17" s="4"/>
      <c r="S17" s="4"/>
      <c r="T17" s="4"/>
      <c r="U17" s="75"/>
      <c r="V17" s="85"/>
      <c r="W17" s="85"/>
      <c r="X17" s="85"/>
      <c r="Y17" s="85"/>
      <c r="Z17" s="99"/>
      <c r="AA17" s="99"/>
      <c r="AB17" s="99"/>
      <c r="AC17" s="99"/>
      <c r="AD17" s="99"/>
      <c r="AE17" s="99"/>
      <c r="AF17" s="86"/>
    </row>
    <row r="18" spans="1:32" x14ac:dyDescent="0.25">
      <c r="H18" s="20"/>
      <c r="I18" s="67"/>
      <c r="J18" s="87"/>
      <c r="L18" s="4"/>
      <c r="M18" s="4"/>
      <c r="N18" s="4"/>
      <c r="O18" s="4"/>
      <c r="P18" s="4"/>
      <c r="Q18" s="4"/>
      <c r="R18" s="4"/>
      <c r="S18" s="4"/>
      <c r="T18" s="4"/>
      <c r="U18" s="75"/>
      <c r="V18" s="85"/>
      <c r="W18" s="85"/>
      <c r="X18" s="85"/>
      <c r="Y18" s="85"/>
      <c r="Z18" s="99"/>
      <c r="AA18" s="99"/>
      <c r="AB18" s="99"/>
      <c r="AC18" s="99"/>
      <c r="AD18" s="99"/>
      <c r="AE18" s="99"/>
      <c r="AF18" s="86"/>
    </row>
    <row r="19" spans="1:32" x14ac:dyDescent="0.25">
      <c r="J19" s="87"/>
      <c r="K19" s="88" t="s">
        <v>168</v>
      </c>
      <c r="L19" s="69"/>
      <c r="M19" s="45"/>
      <c r="N19" s="46"/>
      <c r="O19" s="46"/>
      <c r="P19" s="47"/>
      <c r="Q19" s="45"/>
      <c r="R19" s="45"/>
      <c r="S19" s="46"/>
      <c r="T19" s="64"/>
      <c r="U19" s="45"/>
      <c r="V19" s="99"/>
      <c r="W19" s="99"/>
      <c r="X19" s="99"/>
      <c r="Y19" s="99"/>
      <c r="Z19" s="99"/>
      <c r="AA19" s="99"/>
      <c r="AB19" s="99"/>
      <c r="AC19" s="99"/>
      <c r="AD19" s="99"/>
      <c r="AE19" s="86"/>
    </row>
    <row r="20" spans="1:32" x14ac:dyDescent="0.25">
      <c r="J20" s="87">
        <f t="shared" ca="1" si="3"/>
        <v>1</v>
      </c>
      <c r="K20" s="45" t="s">
        <v>66</v>
      </c>
      <c r="L20" s="4">
        <f ca="1">RANDBETWEEN(5,10)/100</f>
        <v>7.0000000000000007E-2</v>
      </c>
      <c r="M20" s="71"/>
      <c r="N20" s="4">
        <f t="shared" ref="N20:N28" ca="1" si="5">(W20-MIN($V20:$AD20))/$AE20</f>
        <v>7.9714285714285724E-2</v>
      </c>
      <c r="O20" s="4">
        <f t="shared" ref="O20:O28" ca="1" si="6">(X20-MIN($V20:$AD20))/$AE20</f>
        <v>0.26571428571428574</v>
      </c>
      <c r="P20" s="4">
        <f t="shared" ref="P20:P28" ca="1" si="7">(Y20-MIN($V20:$AD20))/$AE20</f>
        <v>0.23914285714285716</v>
      </c>
      <c r="Q20" s="4">
        <f t="shared" ref="Q20:Q28" ca="1" si="8">(Z20-MIN($V20:$AD20))/$AE20</f>
        <v>5.3142857142857144E-2</v>
      </c>
      <c r="R20" s="4">
        <f t="shared" ref="R20:R28" ca="1" si="9">(AA20-MIN($V20:$AD20))/$AE20</f>
        <v>0.10628571428571429</v>
      </c>
      <c r="S20" s="4">
        <f t="shared" ref="S20:S28" ca="1" si="10">(AB20-MIN($V20:$AD20))/$AE20</f>
        <v>0.13285714285714287</v>
      </c>
      <c r="T20" s="4">
        <f t="shared" ref="T20:T28" ca="1" si="11">(AC20-MIN($V20:$AD20))/$AE20</f>
        <v>0</v>
      </c>
      <c r="U20" s="4">
        <f t="shared" ref="U20:U27" ca="1" si="12">(AD20-MIN($V20:$AD20))/$AE20</f>
        <v>5.3142857142857144E-2</v>
      </c>
      <c r="V20" s="85"/>
      <c r="W20" s="85">
        <f>Proposition!T$24+Proposition!T$29+Proposition!T$31+Proposition!T$38+Proposition!T$40</f>
        <v>3</v>
      </c>
      <c r="X20" s="85">
        <f>Proposition!T$26+Proposition!T$29+Proposition!T$31+Proposition!T$38+Proposition!T$41+Proposition!T$42+Proposition!T$43</f>
        <v>10</v>
      </c>
      <c r="Y20" s="85">
        <f>Proposition!T$26+Proposition!T$29+Proposition!T$31+Proposition!T$35+Proposition!T$38</f>
        <v>9</v>
      </c>
      <c r="Z20" s="85">
        <f>Proposition!T$27+Proposition!T$28+Proposition!T$31</f>
        <v>2</v>
      </c>
      <c r="AA20" s="85">
        <f>Proposition!T$27+Proposition!T$28+Proposition!T$31+Proposition!T$34</f>
        <v>4</v>
      </c>
      <c r="AB20" s="85">
        <f>Proposition!T$27+Proposition!T$29+Proposition!T$31</f>
        <v>5</v>
      </c>
      <c r="AC20" s="85">
        <f>Proposition!T$24+Proposition!T$25+Proposition!T$31</f>
        <v>0</v>
      </c>
      <c r="AD20" s="85">
        <f>Proposition!T$27+Proposition!T$28+Proposition!T$31</f>
        <v>2</v>
      </c>
      <c r="AE20" s="86">
        <f ca="1">SUM(W20-MIN(V20:AD20),X20-MIN(V20:AD20),Y20-MIN(V20:AD20),Z20-MIN(V20:AD20),AA20-MIN(V20:AD20),AB20-MIN(V20:AD20),AC20-MIN(V20:AD20),AD20-MIN(V20:AD20))+((L20*SUM(W20-MIN(V20:AD20),X20-MIN(V20:AD20),Y20-MIN(V20:AD20),Z20-MIN(V20:AD20),AA20-MIN(V20:AD20),AB20-MIN(V20:AD20),AC20-MIN(V20:AD20),AD20-MIN(V20:AD20)))/(1-L20))</f>
        <v>37.634408602150536</v>
      </c>
    </row>
    <row r="21" spans="1:32" x14ac:dyDescent="0.25">
      <c r="J21" s="87">
        <f t="shared" ca="1" si="3"/>
        <v>1</v>
      </c>
      <c r="K21" s="46" t="s">
        <v>108</v>
      </c>
      <c r="L21" s="4">
        <f t="shared" ref="L21:L28" ca="1" si="13">RANDBETWEEN(5,10)/100</f>
        <v>0.09</v>
      </c>
      <c r="M21" s="4">
        <f t="shared" ref="M21:M28" ca="1" si="14">(V21-MIN($V21:$AD21))/$AE21</f>
        <v>5.0555555555555555E-2</v>
      </c>
      <c r="N21" s="71"/>
      <c r="O21" s="4">
        <f t="shared" ca="1" si="6"/>
        <v>0.10111111111111111</v>
      </c>
      <c r="P21" s="4">
        <f t="shared" ca="1" si="7"/>
        <v>0.15166666666666667</v>
      </c>
      <c r="Q21" s="4">
        <f t="shared" ca="1" si="8"/>
        <v>0.15166666666666667</v>
      </c>
      <c r="R21" s="4">
        <f t="shared" ca="1" si="9"/>
        <v>0.25277777777777777</v>
      </c>
      <c r="S21" s="4">
        <f t="shared" ca="1" si="10"/>
        <v>0</v>
      </c>
      <c r="T21" s="4">
        <f t="shared" ca="1" si="11"/>
        <v>5.0555555555555555E-2</v>
      </c>
      <c r="U21" s="4">
        <f t="shared" ca="1" si="12"/>
        <v>0.15166666666666667</v>
      </c>
      <c r="V21" s="85">
        <f>Proposition!T$24+Proposition!T$29+Proposition!T$31+Proposition!T$38+Proposition!T$44</f>
        <v>3</v>
      </c>
      <c r="W21" s="85"/>
      <c r="X21" s="85">
        <f>Proposition!T$24+Proposition!T$26+Proposition!T$25+Proposition!T$28+Proposition!T$30+Proposition!T$33+Proposition!T$38+Proposition!T$41+Proposition!T$42+Proposition!T$43</f>
        <v>4</v>
      </c>
      <c r="Y21" s="85">
        <f>Proposition!T$24+Proposition!T$26+Proposition!T$28+Proposition!T$31+Proposition!T$34+Proposition!T$38</f>
        <v>5</v>
      </c>
      <c r="Z21" s="85">
        <f>Proposition!T$27+Proposition!T$29+Proposition!T$31</f>
        <v>5</v>
      </c>
      <c r="AA21" s="85">
        <f>Proposition!T$27+Proposition!T$29+Proposition!T$31+Proposition!T$35</f>
        <v>7</v>
      </c>
      <c r="AB21" s="85">
        <f>Proposition!T$27+Proposition!T$28+Proposition!T$31</f>
        <v>2</v>
      </c>
      <c r="AC21" s="85">
        <f>Proposition!T$27+Proposition!T$31</f>
        <v>3</v>
      </c>
      <c r="AD21" s="85">
        <f>Proposition!T$27+Proposition!T$29+Proposition!T$31</f>
        <v>5</v>
      </c>
      <c r="AE21" s="86">
        <f ca="1">SUM(V21-MIN(V21:AD21),X21-MIN(V21:AD21),Y21-MIN(V21:AD21),Z21-MIN(V21:AD21),AA21-MIN(V21:AD21),AB21-MIN(V21:AD21),AC21-MIN(V21:AD21),AD21-MIN(V21:AD21))+((L21*SUM(V21-MIN(V21:AD21),X21-MIN(V21:AD21),Y21-MIN(V21:AD21),Z21-MIN(V21:AD21),AA21-MIN(V21:AD21),AB21-MIN(V21:AD21),AC21-MIN(V21:AD21),AD21-MIN(V21:AD21)))/(1-L21))</f>
        <v>19.780219780219781</v>
      </c>
    </row>
    <row r="22" spans="1:32" x14ac:dyDescent="0.25">
      <c r="J22" s="87">
        <f t="shared" ca="1" si="3"/>
        <v>1</v>
      </c>
      <c r="K22" s="46" t="s">
        <v>108</v>
      </c>
      <c r="L22" s="4">
        <f t="shared" ca="1" si="13"/>
        <v>0.06</v>
      </c>
      <c r="M22" s="4">
        <f t="shared" ca="1" si="14"/>
        <v>0.17090909090909093</v>
      </c>
      <c r="N22" s="4">
        <f t="shared" ca="1" si="5"/>
        <v>0</v>
      </c>
      <c r="O22" s="71"/>
      <c r="P22" s="4">
        <f t="shared" ca="1" si="7"/>
        <v>0.17090909090909093</v>
      </c>
      <c r="Q22" s="4">
        <f t="shared" ca="1" si="8"/>
        <v>0.14242424242424243</v>
      </c>
      <c r="R22" s="4">
        <f t="shared" ca="1" si="9"/>
        <v>0.1993939393939394</v>
      </c>
      <c r="S22" s="4">
        <f t="shared" ca="1" si="10"/>
        <v>0</v>
      </c>
      <c r="T22" s="4">
        <f t="shared" ca="1" si="11"/>
        <v>8.5454545454545464E-2</v>
      </c>
      <c r="U22" s="4">
        <f t="shared" ca="1" si="12"/>
        <v>0.17090909090909093</v>
      </c>
      <c r="V22" s="112">
        <f>Proposition!T$26+Proposition!T$29+Proposition!T$31+Proposition!T$38+Proposition!T$44</f>
        <v>6</v>
      </c>
      <c r="W22" s="112">
        <f>Proposition!T$24+Proposition!T$26+Proposition!T$25+Proposition!T$28+Proposition!T$30+Proposition!T$33+Proposition!T$38+Proposition!T$40</f>
        <v>0</v>
      </c>
      <c r="X22" s="85"/>
      <c r="Y22" s="85">
        <f>Proposition!T$26+Proposition!T$28+Proposition!T$31+Proposition!T$34+Proposition!T$38</f>
        <v>6</v>
      </c>
      <c r="Z22" s="85">
        <f>Proposition!T$27+Proposition!T$29+Proposition!T$31</f>
        <v>5</v>
      </c>
      <c r="AA22" s="85">
        <f>Proposition!T$27+Proposition!T$29+Proposition!T$31+Proposition!T$35</f>
        <v>7</v>
      </c>
      <c r="AB22" s="85">
        <f>Proposition!T$24+Proposition!T$28+Proposition!T$31</f>
        <v>0</v>
      </c>
      <c r="AC22" s="85">
        <f>Proposition!T$27+Proposition!T$31</f>
        <v>3</v>
      </c>
      <c r="AD22" s="85">
        <f>Proposition!T$26+Proposition!T$29+Proposition!T$31</f>
        <v>6</v>
      </c>
      <c r="AE22" s="86">
        <f ca="1">SUM(V22-MIN(V22:AD22),W22-MIN(V22:AD22),Y22-MIN(V22:AD22),Z22-MIN(V22:AD22),AA22-MIN(V22:AD22),AB22-MIN(V22:AD22),AC22-MIN(V22:AD22),AD22-MIN(V22:AD22))+((L22*SUM(V22-MIN(V22:AD22),W22-MIN(V22:AD22),Y22-MIN(V22:AD22),Z22-MIN(V22:AD22),AA22-MIN(V22:AD22),AB22-MIN(V22:AD22),AC22-MIN(V22:AD22),AD22-MIN(V22:AD22)))/(1-L22))</f>
        <v>35.106382978723403</v>
      </c>
    </row>
    <row r="23" spans="1:32" x14ac:dyDescent="0.25">
      <c r="J23" s="87">
        <f t="shared" ca="1" si="3"/>
        <v>1.0000000000000002</v>
      </c>
      <c r="K23" s="47" t="s">
        <v>60</v>
      </c>
      <c r="L23" s="4">
        <f t="shared" ca="1" si="13"/>
        <v>0.06</v>
      </c>
      <c r="M23" s="4">
        <f t="shared" ca="1" si="14"/>
        <v>0.14461538461538462</v>
      </c>
      <c r="N23" s="4">
        <f t="shared" ca="1" si="5"/>
        <v>0</v>
      </c>
      <c r="O23" s="4">
        <f t="shared" ca="1" si="6"/>
        <v>0.18076923076923077</v>
      </c>
      <c r="P23" s="71"/>
      <c r="Q23" s="4">
        <f t="shared" ca="1" si="8"/>
        <v>0.21692307692307691</v>
      </c>
      <c r="R23" s="4">
        <f t="shared" ca="1" si="9"/>
        <v>0.18076923076923077</v>
      </c>
      <c r="S23" s="4">
        <f t="shared" ca="1" si="10"/>
        <v>3.6153846153846154E-2</v>
      </c>
      <c r="T23" s="4">
        <f t="shared" ca="1" si="11"/>
        <v>3.6153846153846154E-2</v>
      </c>
      <c r="U23" s="4">
        <f t="shared" ca="1" si="12"/>
        <v>0.14461538461538462</v>
      </c>
      <c r="V23" s="112">
        <f>Proposition!T$26+Proposition!T$29+Proposition!T$31+Proposition!T$38+Proposition!T$44</f>
        <v>6</v>
      </c>
      <c r="W23" s="112">
        <f>Proposition!T$24+Proposition!T$26+Proposition!T$28+Proposition!T$31+Proposition!T$38+Proposition!T$40</f>
        <v>2</v>
      </c>
      <c r="X23" s="85">
        <f>Proposition!T$26+Proposition!T$28+Proposition!T$31+Proposition!T$38+Proposition!T$41+Proposition!T$42+Proposition!T$43</f>
        <v>7</v>
      </c>
      <c r="Y23" s="85"/>
      <c r="Z23" s="85">
        <f>Proposition!T$26+Proposition!T$29+Proposition!T$31+Proposition!T$33</f>
        <v>8</v>
      </c>
      <c r="AA23" s="85">
        <f>Proposition!T$27+Proposition!T$29+Proposition!T$31+Proposition!T$36</f>
        <v>7</v>
      </c>
      <c r="AB23" s="85">
        <f>Proposition!T$26+Proposition!T$28+Proposition!T$31</f>
        <v>3</v>
      </c>
      <c r="AC23" s="85">
        <f>Proposition!T$27+Proposition!T$31</f>
        <v>3</v>
      </c>
      <c r="AD23" s="85">
        <f>Proposition!T$26+Proposition!T$29+Proposition!T$31</f>
        <v>6</v>
      </c>
      <c r="AE23" s="86">
        <f ca="1">SUM(V23-MIN(V23:AD23),W23-MIN(V23:AD23),X23-MIN(V23:AD23),Z23-MIN(V23:AD23),AA23-MIN(V23:AD23),AB23-MIN(V23:AD23),AC23-MIN(V23:AD23),AD23-MIN(V23:AD23))+((L23*SUM(V23-MIN(V23:AD23),W23-MIN(V23:AD23),X23-MIN(V23:AD23),Z23-MIN(V23:AD23),AA23-MIN(V23:AD23),AB23-MIN(V23:AD23),AC23-MIN(V23:AD23),AD23-MIN(V23:AD23)))/(1-L23))</f>
        <v>27.659574468085108</v>
      </c>
    </row>
    <row r="24" spans="1:32" x14ac:dyDescent="0.25">
      <c r="J24" s="87">
        <f t="shared" ca="1" si="3"/>
        <v>1</v>
      </c>
      <c r="K24" s="45" t="s">
        <v>98</v>
      </c>
      <c r="L24" s="4">
        <f t="shared" ca="1" si="13"/>
        <v>0.05</v>
      </c>
      <c r="M24" s="4">
        <f t="shared" ca="1" si="14"/>
        <v>0</v>
      </c>
      <c r="N24" s="4">
        <f t="shared" ca="1" si="5"/>
        <v>9.8275862068965519E-2</v>
      </c>
      <c r="O24" s="4">
        <f t="shared" ca="1" si="6"/>
        <v>0.22931034482758619</v>
      </c>
      <c r="P24" s="4">
        <f t="shared" ca="1" si="7"/>
        <v>0.29482758620689653</v>
      </c>
      <c r="Q24" s="71"/>
      <c r="R24" s="4">
        <f t="shared" ca="1" si="9"/>
        <v>0.16379310344827586</v>
      </c>
      <c r="S24" s="4">
        <f t="shared" ca="1" si="10"/>
        <v>6.5517241379310337E-2</v>
      </c>
      <c r="T24" s="4">
        <f t="shared" ca="1" si="11"/>
        <v>6.5517241379310337E-2</v>
      </c>
      <c r="U24" s="4">
        <f t="shared" ca="1" si="12"/>
        <v>3.2758620689655168E-2</v>
      </c>
      <c r="V24" s="112">
        <f>Proposition!T$27+Proposition!T$28+Proposition!T$31+Proposition!T$44</f>
        <v>1</v>
      </c>
      <c r="W24" s="112">
        <f>Proposition!T$27+Proposition!T$29+Proposition!T$31+Proposition!T$40</f>
        <v>4</v>
      </c>
      <c r="X24" s="85">
        <f>Proposition!T$27+Proposition!T$29+Proposition!T$31+Proposition!T$41+Proposition!T$42+Proposition!T$43</f>
        <v>8</v>
      </c>
      <c r="Y24" s="85">
        <f>Proposition!T$26+Proposition!T$29+Proposition!T$31+Proposition!T$33+Proposition!T$35</f>
        <v>10</v>
      </c>
      <c r="Z24" s="85"/>
      <c r="AA24" s="85">
        <f>Proposition!T$27+Proposition!T$28+Proposition!T$31+Proposition!T$33+Proposition!T$34</f>
        <v>6</v>
      </c>
      <c r="AB24" s="85">
        <f>Proposition!T$24+Proposition!T$29+Proposition!T$31</f>
        <v>3</v>
      </c>
      <c r="AC24" s="85">
        <f>Proposition!T$24+Proposition!T$31+Proposition!T$33</f>
        <v>3</v>
      </c>
      <c r="AD24" s="85">
        <f>Proposition!T$27+Proposition!T$28+Proposition!T$31</f>
        <v>2</v>
      </c>
      <c r="AE24" s="86">
        <f ca="1">SUM(V24-MIN(V24:AD24),W24-MIN(V24:AD24),X24-MIN(V24:AD24),Y24-MIN(V24:AD24),AA24-MIN(V24:AD24),AB24-MIN(V24:AD24),AC24-MIN(V24:AD24),AD24-MIN(V24:AD24))+((L24*SUM(V24-MIN(V24:AD24),W24-MIN(V24:AD24),X24-MIN(V24:AD24),Y24-MIN(V24:AD24),AA24-MIN(V24:AD24),AB24-MIN(V24:AD24),AC24-MIN(V24:AD24),AD24-MIN(V24:AD24)))/(1-L24))</f>
        <v>30.526315789473685</v>
      </c>
    </row>
    <row r="25" spans="1:32" x14ac:dyDescent="0.25">
      <c r="J25" s="87">
        <f t="shared" ca="1" si="3"/>
        <v>0.99999999999999989</v>
      </c>
      <c r="K25" s="45" t="s">
        <v>76</v>
      </c>
      <c r="L25" s="4">
        <f t="shared" ca="1" si="13"/>
        <v>0.1</v>
      </c>
      <c r="M25" s="4">
        <f t="shared" ca="1" si="14"/>
        <v>3.3333333333333333E-2</v>
      </c>
      <c r="N25" s="4">
        <f t="shared" ca="1" si="5"/>
        <v>0.13333333333333333</v>
      </c>
      <c r="O25" s="4">
        <f t="shared" ca="1" si="6"/>
        <v>0.26666666666666666</v>
      </c>
      <c r="P25" s="4">
        <f t="shared" ca="1" si="7"/>
        <v>0.23333333333333334</v>
      </c>
      <c r="Q25" s="4">
        <f t="shared" ca="1" si="8"/>
        <v>6.6666666666666666E-2</v>
      </c>
      <c r="R25" s="71"/>
      <c r="S25" s="4">
        <f t="shared" ca="1" si="10"/>
        <v>6.6666666666666666E-2</v>
      </c>
      <c r="T25" s="4">
        <f t="shared" ca="1" si="11"/>
        <v>0.1</v>
      </c>
      <c r="U25" s="4">
        <f t="shared" ca="1" si="12"/>
        <v>0</v>
      </c>
      <c r="V25" s="112">
        <f>Proposition!T$27+Proposition!T$28+Proposition!T$31+Proposition!T$44</f>
        <v>1</v>
      </c>
      <c r="W25" s="112">
        <f>Proposition!T$27+Proposition!T$29+Proposition!T$31+Proposition!T$40</f>
        <v>4</v>
      </c>
      <c r="X25" s="85">
        <f>Proposition!T$27+Proposition!T$29+Proposition!T$31+Proposition!T$41+Proposition!T$42+Proposition!T$43</f>
        <v>8</v>
      </c>
      <c r="Y25" s="85">
        <f>Proposition!T$27+Proposition!T$29+Proposition!T$31+Proposition!T$36</f>
        <v>7</v>
      </c>
      <c r="Z25" s="85">
        <f>Proposition!T$27+Proposition!T$28+Proposition!T$31</f>
        <v>2</v>
      </c>
      <c r="AA25" s="85"/>
      <c r="AB25" s="85">
        <f>Proposition!T$24+Proposition!T$25+Proposition!T$29+Proposition!T$31</f>
        <v>2</v>
      </c>
      <c r="AC25" s="85">
        <f>Proposition!T$27+Proposition!T$31</f>
        <v>3</v>
      </c>
      <c r="AD25" s="85">
        <f>Proposition!T$24+Proposition!T$28+Proposition!T$31</f>
        <v>0</v>
      </c>
      <c r="AE25" s="86">
        <f ca="1">SUM(V25-MIN(V25:AD25),W25-MIN(V25:AD25),X25-MIN(V25:AD25),Y25-MIN(V25:AD25),Z25-MIN(V25:AD25),AB25-MIN(V25:AD25),AC25-MIN(V25:AD25),AD25-MIN(V25:AD25))+((L25*SUM(V25-MIN(V25:AD25),W25-MIN(V25:AD25),X25-MIN(V25:AD25),Y25-MIN(V25:AD25),Z25-MIN(V25:AD25),AB25-MIN(V25:AD25),AC25-MIN(V25:AD25),AD25-MIN(V25:AD25)))/(1-L25))</f>
        <v>30</v>
      </c>
    </row>
    <row r="26" spans="1:32" x14ac:dyDescent="0.25">
      <c r="J26" s="87">
        <f t="shared" ca="1" si="3"/>
        <v>1</v>
      </c>
      <c r="K26" s="46" t="s">
        <v>96</v>
      </c>
      <c r="L26" s="4">
        <f t="shared" ca="1" si="13"/>
        <v>0.08</v>
      </c>
      <c r="M26" s="4">
        <f t="shared" ca="1" si="14"/>
        <v>0.15333333333333332</v>
      </c>
      <c r="N26" s="4">
        <f t="shared" ca="1" si="5"/>
        <v>0</v>
      </c>
      <c r="O26" s="4">
        <f t="shared" ca="1" si="6"/>
        <v>0.10222222222222223</v>
      </c>
      <c r="P26" s="4">
        <f t="shared" ca="1" si="7"/>
        <v>0.20444444444444446</v>
      </c>
      <c r="Q26" s="4">
        <f t="shared" ca="1" si="8"/>
        <v>0.10222222222222223</v>
      </c>
      <c r="R26" s="4">
        <f t="shared" ca="1" si="9"/>
        <v>0.15333333333333332</v>
      </c>
      <c r="S26" s="71"/>
      <c r="T26" s="4">
        <f t="shared" ca="1" si="11"/>
        <v>0.10222222222222223</v>
      </c>
      <c r="U26" s="4">
        <f t="shared" ca="1" si="12"/>
        <v>0.10222222222222223</v>
      </c>
      <c r="V26" s="112">
        <f>Proposition!T$27+Proposition!T$29+Proposition!T$31+Proposition!T$44</f>
        <v>4</v>
      </c>
      <c r="W26" s="112">
        <f>Proposition!T$27+Proposition!T$28+Proposition!T$31+Proposition!T$40</f>
        <v>1</v>
      </c>
      <c r="X26" s="85">
        <f>Proposition!T$24+Proposition!T$28+Proposition!T$31+Proposition!T$41+Proposition!T$42+Proposition!T$43</f>
        <v>3</v>
      </c>
      <c r="Y26" s="85">
        <f>Proposition!T$26+Proposition!T$28+Proposition!T$31+Proposition!T$34</f>
        <v>5</v>
      </c>
      <c r="Z26" s="85">
        <f>Proposition!T$24+Proposition!T$29+Proposition!T$31</f>
        <v>3</v>
      </c>
      <c r="AA26" s="85">
        <f>Proposition!T$24+Proposition!T$25+Proposition!T$29+Proposition!T$31+Proposition!T$35</f>
        <v>4</v>
      </c>
      <c r="AB26" s="85"/>
      <c r="AC26" s="85">
        <f>Proposition!T$27+Proposition!T$31</f>
        <v>3</v>
      </c>
      <c r="AD26" s="85">
        <f>Proposition!T$27+Proposition!T$29+Proposition!T48</f>
        <v>3</v>
      </c>
      <c r="AE26" s="86">
        <f ca="1">SUM(V26-MIN(V26:AD26),W26-MIN(V26:AD26),X26-MIN(V26:AD26),Y26-MIN(V26:AD26),Z26-MIN(V26:AD26),AA26-MIN(V26:AD26),AC26-MIN(V26:AD26),AD26-MIN(V26:AD26))+((L26*SUM(V26-MIN(V26:AD26),W26-MIN(V26:AD26),X26-MIN(V26:AD26),Y26-MIN(V26:AD26),Z26-MIN(V26:AD26),AA26-MIN(V26:AD26),AC26-MIN(V26:AD26),AD26-MIN(V26:AD26)))/(1-L26))</f>
        <v>19.565217391304348</v>
      </c>
    </row>
    <row r="27" spans="1:32" x14ac:dyDescent="0.25">
      <c r="J27" s="87">
        <f t="shared" ca="1" si="3"/>
        <v>1</v>
      </c>
      <c r="K27" s="64" t="s">
        <v>100</v>
      </c>
      <c r="L27" s="4">
        <f t="shared" ca="1" si="13"/>
        <v>0.09</v>
      </c>
      <c r="M27" s="4">
        <f t="shared" ca="1" si="14"/>
        <v>0</v>
      </c>
      <c r="N27" s="4">
        <f t="shared" ca="1" si="5"/>
        <v>9.7500000000000003E-2</v>
      </c>
      <c r="O27" s="4">
        <f t="shared" ca="1" si="6"/>
        <v>0.22750000000000001</v>
      </c>
      <c r="P27" s="4">
        <f t="shared" ca="1" si="7"/>
        <v>0.13</v>
      </c>
      <c r="Q27" s="4">
        <f t="shared" ca="1" si="8"/>
        <v>6.5000000000000002E-2</v>
      </c>
      <c r="R27" s="4">
        <f t="shared" ca="1" si="9"/>
        <v>0.13</v>
      </c>
      <c r="S27" s="4">
        <f t="shared" ca="1" si="10"/>
        <v>0.13</v>
      </c>
      <c r="T27" s="71"/>
      <c r="U27" s="4">
        <f t="shared" ca="1" si="12"/>
        <v>0.13</v>
      </c>
      <c r="V27" s="112">
        <f>Proposition!T$24+Proposition!T$25+Proposition!T$31+Proposition!T$44</f>
        <v>-1</v>
      </c>
      <c r="W27" s="112">
        <f>Proposition!T$27+Proposition!T$31+Proposition!T$40</f>
        <v>2</v>
      </c>
      <c r="X27" s="85">
        <f>Proposition!T$27+Proposition!T$31+Proposition!T$41+Proposition!T$42+Proposition!T$43</f>
        <v>6</v>
      </c>
      <c r="Y27" s="85">
        <f>Proposition!T$27+Proposition!T$31</f>
        <v>3</v>
      </c>
      <c r="Z27" s="85">
        <f>Proposition!T$24+Proposition!T$31</f>
        <v>1</v>
      </c>
      <c r="AA27" s="85">
        <f>Proposition!T$27+Proposition!T$31</f>
        <v>3</v>
      </c>
      <c r="AB27" s="85">
        <f>Proposition!T$27+Proposition!T$31</f>
        <v>3</v>
      </c>
      <c r="AC27" s="85"/>
      <c r="AD27" s="85">
        <f>Proposition!T$27+Proposition!T$31</f>
        <v>3</v>
      </c>
      <c r="AE27" s="86">
        <f ca="1">SUM(V27-MIN(V27:AD27),W27-MIN(V27:AD27),X27-MIN(V27:AD27),Y27-MIN(V27:AD27),Z27-MIN(V27:AD27),AA27-MIN(V27:AD27),AB27-MIN(V27:AD27),AD27-MIN(V27:AD27))+((L27*SUM(V27-MIN(V27:AD27),W27-MIN(V27:AD27),X27-MIN(V27:AD27),Y27-MIN(V27:AD27),Z27-MIN(V27:AD27),AA27-MIN(V27:AD27),AB27-MIN(V27:AD27),AD27-MIN(V27:AD27)))/(1-L27))</f>
        <v>30.76923076923077</v>
      </c>
    </row>
    <row r="28" spans="1:32" x14ac:dyDescent="0.25">
      <c r="J28" s="87">
        <f t="shared" ca="1" si="3"/>
        <v>1</v>
      </c>
      <c r="K28" s="45" t="s">
        <v>128</v>
      </c>
      <c r="L28" s="4">
        <f t="shared" ca="1" si="13"/>
        <v>7.0000000000000007E-2</v>
      </c>
      <c r="M28" s="4">
        <f t="shared" ca="1" si="14"/>
        <v>5.1666666666666666E-2</v>
      </c>
      <c r="N28" s="4">
        <f t="shared" ca="1" si="5"/>
        <v>0.10333333333333333</v>
      </c>
      <c r="O28" s="4">
        <f t="shared" ca="1" si="6"/>
        <v>0.36166666666666664</v>
      </c>
      <c r="P28" s="4">
        <f t="shared" ca="1" si="7"/>
        <v>0.31</v>
      </c>
      <c r="Q28" s="4">
        <f t="shared" ca="1" si="8"/>
        <v>0</v>
      </c>
      <c r="R28" s="4">
        <f t="shared" ca="1" si="9"/>
        <v>0</v>
      </c>
      <c r="S28" s="4">
        <f t="shared" ca="1" si="10"/>
        <v>5.1666666666666666E-2</v>
      </c>
      <c r="T28" s="4">
        <f t="shared" ca="1" si="11"/>
        <v>5.1666666666666666E-2</v>
      </c>
      <c r="U28" s="71"/>
      <c r="V28" s="112">
        <f>Proposition!T$27+Proposition!T$28+Proposition!T$29+Proposition!T$31+Proposition!T$44</f>
        <v>3</v>
      </c>
      <c r="W28" s="112">
        <f>Proposition!T$27+Proposition!T$29+Proposition!T$31+Proposition!T$40</f>
        <v>4</v>
      </c>
      <c r="X28" s="85">
        <f>Proposition!T$26+Proposition!T$29+Proposition!T$31+Proposition!T$41+Proposition!T$42+Proposition!T$43</f>
        <v>9</v>
      </c>
      <c r="Y28" s="85">
        <f>Proposition!T$26+Proposition!T$29+Proposition!T$31+Proposition!T$35</f>
        <v>8</v>
      </c>
      <c r="Z28" s="85">
        <f>Proposition!T$27+Proposition!T$28+Proposition!T$31</f>
        <v>2</v>
      </c>
      <c r="AA28" s="85">
        <f>Proposition!T$24+Proposition!T$28+Proposition!T$31+Proposition!T$34</f>
        <v>2</v>
      </c>
      <c r="AB28" s="85">
        <f>Proposition!T$27+Proposition!T$31</f>
        <v>3</v>
      </c>
      <c r="AC28" s="85">
        <f>Proposition!T$27+Proposition!T$31</f>
        <v>3</v>
      </c>
      <c r="AD28" s="85"/>
      <c r="AE28" s="86">
        <f ca="1">SUM(V28-MIN(V28:AD28),W28-MIN(V28:AD28),X28-MIN(V28:AD28),Y28-MIN(V28:AD28),Z28-MIN(V28:AD28),AA28-MIN(V28:AD28),AB28-MIN(V28:AD28),AC28-MIN(V28:AD28))+((L28*SUM(V28-MIN(V28:AD28),W28-MIN(V28:AD28),X28-MIN(V28:AD28),Y28-MIN(V28:AD28),Z28-MIN(V28:AD28),AA28-MIN(V28:AD28),AB28-MIN(V28:AD28),AC28-MIN(V28:AD28)))/(1-L28))</f>
        <v>19.35483870967742</v>
      </c>
    </row>
    <row r="29" spans="1:32" x14ac:dyDescent="0.25">
      <c r="J29" s="87">
        <f t="shared" ca="1" si="3"/>
        <v>0.24</v>
      </c>
      <c r="K29" s="74" t="s">
        <v>134</v>
      </c>
      <c r="L29" s="4"/>
      <c r="M29" s="4">
        <f ca="1">RANDBETWEEN(0,5)/100</f>
        <v>0</v>
      </c>
      <c r="N29" s="4">
        <f t="shared" ref="N29:U29" ca="1" si="15">RANDBETWEEN(0,5)/100</f>
        <v>0.03</v>
      </c>
      <c r="O29" s="4">
        <f t="shared" ca="1" si="15"/>
        <v>0.05</v>
      </c>
      <c r="P29" s="4">
        <f t="shared" ca="1" si="15"/>
        <v>0</v>
      </c>
      <c r="Q29" s="4">
        <f t="shared" ca="1" si="15"/>
        <v>0.04</v>
      </c>
      <c r="R29" s="4">
        <f t="shared" ca="1" si="15"/>
        <v>0.05</v>
      </c>
      <c r="S29" s="4">
        <f t="shared" ca="1" si="15"/>
        <v>0.02</v>
      </c>
      <c r="T29" s="4">
        <f t="shared" ca="1" si="15"/>
        <v>0.05</v>
      </c>
      <c r="U29" s="4">
        <f t="shared" ca="1" si="15"/>
        <v>0</v>
      </c>
      <c r="V29" s="109"/>
      <c r="W29" s="109"/>
      <c r="X29" s="109"/>
      <c r="Y29" s="109"/>
    </row>
    <row r="30" spans="1:32" x14ac:dyDescent="0.25">
      <c r="J30" s="87">
        <f t="shared" ca="1" si="3"/>
        <v>0.37</v>
      </c>
      <c r="K30" s="74" t="s">
        <v>133</v>
      </c>
      <c r="L30" s="4"/>
      <c r="M30" s="4">
        <f ca="1">RANDBETWEEN(0,3)/100+0.03</f>
        <v>0.06</v>
      </c>
      <c r="N30" s="4">
        <f ca="1">RANDBETWEEN(0,3)/100+0.03</f>
        <v>0.05</v>
      </c>
      <c r="O30" s="4">
        <f ca="1">RANDBETWEEN(0,3)/100+0.02</f>
        <v>0.02</v>
      </c>
      <c r="P30" s="4">
        <f ca="1">RANDBETWEEN(0,3)/100+0.06</f>
        <v>6.9999999999999993E-2</v>
      </c>
      <c r="Q30" s="4">
        <f t="shared" ref="Q30:U30" ca="1" si="16">RANDBETWEEN(0,3)/100</f>
        <v>0.03</v>
      </c>
      <c r="R30" s="4">
        <f ca="1">RANDBETWEEN(0,3)/100+0.06</f>
        <v>0.09</v>
      </c>
      <c r="S30" s="4">
        <f t="shared" ca="1" si="16"/>
        <v>0.01</v>
      </c>
      <c r="T30" s="4">
        <f t="shared" ca="1" si="16"/>
        <v>0.01</v>
      </c>
      <c r="U30" s="4">
        <f t="shared" ca="1" si="16"/>
        <v>0.03</v>
      </c>
      <c r="V30" s="109"/>
      <c r="W30" s="109"/>
      <c r="X30" s="109"/>
      <c r="Y30" s="109"/>
    </row>
    <row r="31" spans="1:32" x14ac:dyDescent="0.25">
      <c r="J31" s="73"/>
      <c r="L31" s="4"/>
      <c r="M31" s="4"/>
      <c r="N31" s="4"/>
      <c r="O31" s="4"/>
      <c r="P31" s="4"/>
      <c r="Q31" s="4"/>
      <c r="R31" s="4"/>
      <c r="S31" s="4"/>
      <c r="T31" s="4"/>
      <c r="U31" s="4"/>
      <c r="V31" s="109"/>
      <c r="W31" s="109"/>
      <c r="X31" s="109"/>
      <c r="Y31" s="109"/>
    </row>
    <row r="32" spans="1:32" x14ac:dyDescent="0.25">
      <c r="J32" s="73"/>
      <c r="L32" s="4"/>
      <c r="M32" s="72"/>
      <c r="N32" s="72"/>
      <c r="O32" s="4"/>
      <c r="P32" s="4"/>
      <c r="Q32" s="4"/>
      <c r="R32" s="4"/>
      <c r="S32" s="4"/>
      <c r="T32" s="4"/>
      <c r="U32" s="4"/>
      <c r="V32" s="109"/>
      <c r="W32" s="109"/>
      <c r="X32" s="109"/>
      <c r="Y32" s="109"/>
    </row>
    <row r="33" spans="10:25" x14ac:dyDescent="0.25">
      <c r="J33" s="73"/>
      <c r="L33" s="4"/>
      <c r="M33" s="4"/>
      <c r="N33" s="4"/>
      <c r="O33" s="4"/>
      <c r="P33" s="4"/>
      <c r="Q33" s="4"/>
      <c r="R33" s="4"/>
      <c r="S33" s="4"/>
      <c r="T33" s="4"/>
      <c r="U33" s="4"/>
      <c r="V33" s="109"/>
      <c r="W33" s="109"/>
      <c r="X33" s="109"/>
      <c r="Y33" s="109"/>
    </row>
    <row r="34" spans="10:25" x14ac:dyDescent="0.25">
      <c r="J34" s="73"/>
      <c r="L34" s="4"/>
      <c r="M34" s="4"/>
      <c r="N34" s="4"/>
      <c r="O34" s="4"/>
      <c r="P34" s="4"/>
      <c r="Q34" s="4"/>
      <c r="R34" s="4"/>
      <c r="S34" s="4"/>
      <c r="T34" s="4"/>
      <c r="U34" s="4"/>
      <c r="V34" s="109"/>
      <c r="W34" s="109"/>
      <c r="X34" s="109"/>
      <c r="Y34" s="109"/>
    </row>
    <row r="35" spans="10:25" x14ac:dyDescent="0.25">
      <c r="J35" s="73"/>
      <c r="L35" s="4"/>
      <c r="M35" s="4"/>
      <c r="N35" s="4"/>
      <c r="O35" s="4"/>
      <c r="P35" s="4"/>
      <c r="Q35" s="4"/>
      <c r="R35" s="4"/>
      <c r="S35" s="4"/>
      <c r="T35" s="4"/>
      <c r="U35" s="4"/>
      <c r="V35" s="109"/>
      <c r="W35" s="109"/>
      <c r="X35" s="109"/>
      <c r="Y35" s="109"/>
    </row>
    <row r="36" spans="10:25" x14ac:dyDescent="0.25">
      <c r="J36" s="73"/>
      <c r="L36" s="4"/>
      <c r="M36" s="4"/>
      <c r="N36" s="4"/>
      <c r="O36" s="4"/>
      <c r="P36" s="4"/>
      <c r="Q36" s="4"/>
      <c r="R36" s="4"/>
      <c r="S36" s="4"/>
      <c r="T36" s="4"/>
      <c r="U36" s="4"/>
      <c r="V36" s="110"/>
      <c r="W36" s="110"/>
      <c r="X36" s="110"/>
      <c r="Y36" s="110"/>
    </row>
    <row r="37" spans="10:25" x14ac:dyDescent="0.25">
      <c r="J37" s="73"/>
      <c r="L37" s="4"/>
      <c r="M37" s="4"/>
      <c r="N37" s="4"/>
      <c r="O37" s="4"/>
      <c r="P37" s="4"/>
      <c r="Q37" s="4"/>
      <c r="R37" s="4"/>
      <c r="S37" s="4"/>
      <c r="T37" s="4"/>
      <c r="U37" s="4"/>
      <c r="V37" s="110"/>
      <c r="W37" s="110"/>
      <c r="X37" s="110"/>
      <c r="Y37" s="110"/>
    </row>
  </sheetData>
  <mergeCells count="1">
    <mergeCell ref="E2:F2"/>
  </mergeCells>
  <pageMargins left="0.7" right="0.7" top="0.75" bottom="0.75" header="0.3" footer="0.3"/>
  <pageSetup paperSize="9" orientation="portrait" horizontalDpi="0" verticalDpi="0" r:id="rId1"/>
  <ignoredErrors>
    <ignoredError sqref="Z27 AC24 AC7 Z10 Q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D4B6-6A6C-415E-A4EF-06B7C37FA2A8}">
  <dimension ref="A1:BF40"/>
  <sheetViews>
    <sheetView workbookViewId="0"/>
  </sheetViews>
  <sheetFormatPr baseColWidth="10" defaultRowHeight="15" x14ac:dyDescent="0.25"/>
  <cols>
    <col min="1" max="1" width="22.7109375" customWidth="1"/>
    <col min="6" max="6" width="5.85546875" customWidth="1"/>
    <col min="12" max="28" width="5.7109375" customWidth="1"/>
    <col min="30" max="47" width="11.42578125" customWidth="1"/>
  </cols>
  <sheetData>
    <row r="1" spans="1:58" ht="15.75" thickBot="1" x14ac:dyDescent="0.3"/>
    <row r="2" spans="1:58" ht="15.75" thickBot="1" x14ac:dyDescent="0.3">
      <c r="E2" s="173" t="s">
        <v>166</v>
      </c>
      <c r="F2" s="175"/>
      <c r="G2" s="68" t="s">
        <v>28</v>
      </c>
      <c r="H2" s="11" t="s">
        <v>131</v>
      </c>
      <c r="I2" s="11" t="s">
        <v>132</v>
      </c>
      <c r="K2" s="89"/>
      <c r="L2" s="90"/>
      <c r="M2" s="91"/>
      <c r="N2" s="92"/>
      <c r="O2" s="93"/>
      <c r="P2" s="91"/>
      <c r="Q2" s="93"/>
      <c r="R2" s="93"/>
      <c r="S2" s="94"/>
      <c r="T2" s="95"/>
      <c r="U2" s="96"/>
      <c r="V2" s="91"/>
      <c r="W2" s="93"/>
      <c r="X2" s="92"/>
      <c r="Y2" s="93"/>
      <c r="Z2" s="94"/>
      <c r="AA2" s="96"/>
      <c r="AB2" s="93"/>
      <c r="AD2" s="99"/>
      <c r="AE2" s="99"/>
      <c r="AF2" s="99"/>
      <c r="AG2" s="99"/>
      <c r="AH2" s="99"/>
      <c r="AI2" s="99"/>
      <c r="AJ2" s="99"/>
      <c r="AK2" s="99"/>
      <c r="AL2" s="99"/>
      <c r="AM2" s="99"/>
      <c r="AN2" s="99"/>
      <c r="AO2" s="99"/>
      <c r="AP2" s="99"/>
      <c r="AQ2" s="99"/>
      <c r="AR2" s="99"/>
      <c r="AS2" s="99"/>
      <c r="AT2" s="99"/>
      <c r="AU2" s="99"/>
      <c r="AV2" s="99"/>
    </row>
    <row r="3" spans="1:58" x14ac:dyDescent="0.25">
      <c r="A3" s="113" t="s">
        <v>177</v>
      </c>
      <c r="B3" t="s">
        <v>50</v>
      </c>
      <c r="D3" s="46" t="s">
        <v>108</v>
      </c>
      <c r="E3" s="151">
        <v>5666021</v>
      </c>
      <c r="F3" s="115">
        <f>E3/SUM(E$3:E$18)</f>
        <v>0.19881133298995873</v>
      </c>
      <c r="G3" s="13">
        <f ca="1">(H3-I3/(COUNTA(B$3:B$11)/2))/100000</f>
        <v>61.20610673966474</v>
      </c>
      <c r="H3" s="20">
        <f>E3+M$4*E$4+M$5*E$5+M$6*E$6+M$7*E$7+M$8*E$8+M$9*E$9+M$10*E$10+M$11*E$11+E$12*M$12+E$13*M$13+E$14*M$14+E$15*M$15+E$16*M$16+E$17*M$17+E$18*M$18</f>
        <v>6636010.6134583661</v>
      </c>
      <c r="I3" s="67">
        <f ca="1">M$21*E$4+M$22*E$5+M$23*E$6+M$24*E$7+M$25*E$8+M$26*E$9+M$27*E$10+M$28*E$11+E$12*M$29+E$13*M$30+E$14*M$31+E$15*M$32+E$16*M$33+E$17*M$34+E$18*M$35+B21*M36+B23*M37</f>
        <v>2319299.7277135151</v>
      </c>
      <c r="J3" s="87">
        <f>SUM(L3:AB3)</f>
        <v>1.0000000000000002</v>
      </c>
      <c r="K3" s="91" t="s">
        <v>108</v>
      </c>
      <c r="L3" s="4">
        <v>0.89</v>
      </c>
      <c r="M3" s="70"/>
      <c r="N3" s="4">
        <f t="shared" ref="N3" si="0">(AG3-MIN($AF3:$AU3))/$AV3</f>
        <v>2.0754716981132072E-3</v>
      </c>
      <c r="O3" s="4">
        <f t="shared" ref="O3" si="1">(AH3-MIN($AF3:$AU3))/$AV3</f>
        <v>4.1509433962264143E-3</v>
      </c>
      <c r="P3" s="4">
        <f t="shared" ref="P3" si="2">(AI3-MIN($AF3:$AU3))/$AV3</f>
        <v>4.1509433962264143E-3</v>
      </c>
      <c r="Q3" s="4">
        <f t="shared" ref="Q3" si="3">(AJ3-MIN($AF3:$AU3))/$AV3</f>
        <v>2.0754716981132072E-3</v>
      </c>
      <c r="R3" s="4">
        <f t="shared" ref="R3" si="4">(AK3-MIN($AF3:$AU3))/$AV3</f>
        <v>1.0377358490566037E-2</v>
      </c>
      <c r="S3" s="4">
        <f t="shared" ref="S3" si="5">(AL3-MIN($AF3:$AU3))/$AV3</f>
        <v>1.0377358490566037E-2</v>
      </c>
      <c r="T3" s="4">
        <f t="shared" ref="T3" si="6">(AM3-MIN($AF3:$AU3))/$AV3</f>
        <v>6.226415094339622E-3</v>
      </c>
      <c r="U3" s="4">
        <f t="shared" ref="U3" si="7">(AN3-MIN($AF3:$AU3))/$AV3</f>
        <v>1.0377358490566037E-2</v>
      </c>
      <c r="V3" s="4">
        <f t="shared" ref="V3" si="8">(AO3-MIN($AF3:$AU3))/$AV3</f>
        <v>1.6603773584905657E-2</v>
      </c>
      <c r="W3" s="4">
        <f t="shared" ref="W3" si="9">(AP3-MIN($AF3:$AU3))/$AV3</f>
        <v>4.1509433962264143E-3</v>
      </c>
      <c r="X3" s="4">
        <f t="shared" ref="X3" si="10">(AQ3-MIN($AF3:$AU3))/$AV3</f>
        <v>8.3018867924528287E-3</v>
      </c>
      <c r="Y3" s="4">
        <f t="shared" ref="Y3" si="11">(AR3-MIN($AF3:$AU3))/$AV3</f>
        <v>4.1509433962264143E-3</v>
      </c>
      <c r="Z3" s="4">
        <f t="shared" ref="Z3" si="12">(AS3-MIN($AF3:$AU3))/$AV3</f>
        <v>8.3018867924528287E-3</v>
      </c>
      <c r="AA3" s="4">
        <f t="shared" ref="AA3" si="13">(AT3-MIN($AF3:$AU3))/$AV3</f>
        <v>1.8679245283018866E-2</v>
      </c>
      <c r="AB3" s="4">
        <f t="shared" ref="AB3" si="14">(AU3-MIN($AF3:$AU3))/$AV3</f>
        <v>0</v>
      </c>
      <c r="AD3" s="99" t="s">
        <v>108</v>
      </c>
      <c r="AE3" s="85"/>
      <c r="AF3" s="85"/>
      <c r="AG3" s="85">
        <f>Proposition!S$27+Proposition!S$28+Proposition!S$31+Proposition!S$34+Proposition!S$37+Proposition!S$38</f>
        <v>-5</v>
      </c>
      <c r="AH3" s="85">
        <f>Proposition!S$27+Proposition!S$29+Proposition!S$31+Proposition!S$38+Proposition!S$43</f>
        <v>-4</v>
      </c>
      <c r="AI3" s="85">
        <f>Proposition!S$27+Proposition!S$28+Proposition!S$31+Proposition!S$38+Proposition!S$41</f>
        <v>-4</v>
      </c>
      <c r="AJ3" s="85">
        <f>Proposition!S$24+Proposition!S$26+Proposition!S$29+Proposition!S$31+Proposition!S$35</f>
        <v>-5</v>
      </c>
      <c r="AK3" s="85">
        <f>Proposition!S$24+Proposition!S$29+Proposition!S$31</f>
        <v>-1</v>
      </c>
      <c r="AL3" s="85">
        <f>Proposition!S$24+Proposition!S$26+Proposition!S$31</f>
        <v>-1</v>
      </c>
      <c r="AM3" s="85">
        <f>Proposition!S$24+Proposition!S$29+Proposition!S$31+Proposition!S$35</f>
        <v>-3</v>
      </c>
      <c r="AN3" s="85">
        <f>Proposition!S$27+Proposition!S$28+Proposition!S$31</f>
        <v>-1</v>
      </c>
      <c r="AO3" s="85">
        <f>Proposition!S$24+Proposition!S$28+Proposition!S$31</f>
        <v>2</v>
      </c>
      <c r="AP3" s="85">
        <f>Proposition!S$27+Proposition!S$29+Proposition!S$31</f>
        <v>-4</v>
      </c>
      <c r="AQ3" s="85">
        <f>Proposition!S$27+Proposition!S$28+Proposition!S$31+Proposition!S$34</f>
        <v>-2</v>
      </c>
      <c r="AR3" s="85">
        <f>Proposition!S$27+Proposition!S$29+Proposition!S$31</f>
        <v>-4</v>
      </c>
      <c r="AS3" s="85">
        <f>Proposition!S$27+Proposition!S$31</f>
        <v>-2</v>
      </c>
      <c r="AT3" s="85">
        <f>Proposition!S$24+Proposition!S$28+Proposition!S$30+Proposition!S$41</f>
        <v>3</v>
      </c>
      <c r="AU3" s="85">
        <f>Proposition!S$27+Proposition!S$29+Proposition!S$31+Proposition!S$35</f>
        <v>-6</v>
      </c>
      <c r="AV3" s="86">
        <f>SUM(AG3-MIN(AF3:AU3),AH3-MIN(AF3:AU3),AI3-MIN(AF3:AU3),AJ3-MIN(AF3:AU3),AK3-MIN(AF3:AU3),AL3-MIN(AF3:AU3),AM3-MIN(AF3:AU3),AN3-MIN(AF3:AU3),AO3-MIN(AF3:AU3),AP3-MIN(AF3:AU3),AQ3-MIN(AF3:AU3),AR3-MIN(AF3:AU3),AS3-MIN(AF3:AU3),AT3-MIN(AF3:AU3),AU3-MIN(AF3:AU3))+((L3*SUM(AG3-MIN(AF3:AU3),AH3-MIN(AF3:AU3),AI3-MIN(AF3:AU3),AJ3-MIN(AF3:AU3),AK3-MIN(AF3:AU3),AL3-MIN(AF3:AU3),AM3-MIN(AF3:AU3),AN3-MIN(AF3:AU3),AO3-MIN(AF3:AU3),AP3-MIN(AF3:AU3),AQ3-MIN(AF3:AU3),AR3-MIN(AF3:AU3),AS3-MIN(AF3:AU3),AT3-MIN(AF3:AU3),AU3-MIN(AF3:AU3)))/(1-L3))</f>
        <v>481.81818181818187</v>
      </c>
      <c r="BC3" t="s">
        <v>170</v>
      </c>
      <c r="BD3" t="s">
        <v>171</v>
      </c>
      <c r="BE3" t="s">
        <v>172</v>
      </c>
      <c r="BF3" t="s">
        <v>173</v>
      </c>
    </row>
    <row r="4" spans="1:58" x14ac:dyDescent="0.25">
      <c r="A4" s="113" t="s">
        <v>178</v>
      </c>
      <c r="B4" t="s">
        <v>51</v>
      </c>
      <c r="D4" s="47" t="s">
        <v>60</v>
      </c>
      <c r="E4" s="151">
        <v>4804772</v>
      </c>
      <c r="F4" s="115">
        <f t="shared" ref="F4:F18" si="15">E4/SUM(E$3:E$18)</f>
        <v>0.16859152587553594</v>
      </c>
      <c r="G4" s="13">
        <f t="shared" ref="G4:G18" ca="1" si="16">(H4-I4/(COUNTA(B$3:B$11)/2))/100000</f>
        <v>45.047372299142118</v>
      </c>
      <c r="H4" s="20">
        <f>E4+N$3*E$3+N$5*E$5+N$6*E$6+N$7*E$7+N$8*E$8+N$9*E$9+N$10*E$10+N$11*E$11+E$12*N$12+E$13*N$13+E$14*N$14+E$15*N$15+E$16*N$16+E$17*N$17+E$18*N$18</f>
        <v>5225774.0120192152</v>
      </c>
      <c r="I4" s="67">
        <f ca="1">N$20*E$3+N$22*E$5+N$23*E$6+N$24*E$7+N$25*E$8+N$26*E$9+N$27*E$10+N$28*E$11+E$12*N$29+E$13*N$30+E$14*N$31+E$15*N$32+E$16*N$33+E$17*N$34+E$18*N$35+B21*N36+B23*N37</f>
        <v>3244665.5194725161</v>
      </c>
      <c r="J4" s="87">
        <f t="shared" ref="J4:J37" si="17">SUM(L4:AB4)</f>
        <v>1</v>
      </c>
      <c r="K4" s="92" t="s">
        <v>60</v>
      </c>
      <c r="L4" s="4">
        <v>0.89</v>
      </c>
      <c r="M4" s="4">
        <f>(AF4-MIN($AF4:$AU4))/$AV4</f>
        <v>4.2307692307692298E-3</v>
      </c>
      <c r="N4" s="71"/>
      <c r="O4" s="4">
        <f t="shared" ref="O4:AB4" si="18">(AH4-MIN($AF4:$AU4))/$AV4</f>
        <v>4.2307692307692298E-3</v>
      </c>
      <c r="P4" s="4">
        <f t="shared" si="18"/>
        <v>2.1153846153846149E-3</v>
      </c>
      <c r="Q4" s="4">
        <f t="shared" si="18"/>
        <v>0</v>
      </c>
      <c r="R4" s="4">
        <f t="shared" si="18"/>
        <v>2.1153846153846149E-3</v>
      </c>
      <c r="S4" s="4">
        <f t="shared" si="18"/>
        <v>8.4615384615384596E-3</v>
      </c>
      <c r="T4" s="4">
        <f t="shared" si="18"/>
        <v>4.2307692307692298E-3</v>
      </c>
      <c r="U4" s="4">
        <f t="shared" si="18"/>
        <v>8.4615384615384596E-3</v>
      </c>
      <c r="V4" s="4">
        <f t="shared" si="18"/>
        <v>1.9038461538461535E-2</v>
      </c>
      <c r="W4" s="4">
        <f t="shared" si="18"/>
        <v>8.4615384615384596E-3</v>
      </c>
      <c r="X4" s="4">
        <f t="shared" si="18"/>
        <v>1.9038461538461535E-2</v>
      </c>
      <c r="Y4" s="4">
        <f t="shared" si="18"/>
        <v>4.2307692307692298E-3</v>
      </c>
      <c r="Z4" s="4">
        <f t="shared" si="18"/>
        <v>8.4615384615384596E-3</v>
      </c>
      <c r="AA4" s="4">
        <f t="shared" si="18"/>
        <v>1.269230769230769E-2</v>
      </c>
      <c r="AB4" s="4">
        <f t="shared" si="18"/>
        <v>4.2307692307692298E-3</v>
      </c>
      <c r="AD4" s="99" t="s">
        <v>60</v>
      </c>
      <c r="AE4" s="85"/>
      <c r="AF4" s="85">
        <f>Proposition!S$27+Proposition!S$28+Proposition!S$31+Proposition!S$33+Proposition!S$38+Proposition!S$39+Proposition!S$43</f>
        <v>-3</v>
      </c>
      <c r="AG4" s="85"/>
      <c r="AH4" s="85">
        <f>Proposition!S$24+Proposition!S$29+Proposition!S$31+Proposition!S$33+Proposition!S$38+Proposition!S$43</f>
        <v>-3</v>
      </c>
      <c r="AI4" s="85">
        <f>Proposition!S$27+Proposition!S$28+Proposition!S$31+Proposition!S$38+Proposition!S$41</f>
        <v>-4</v>
      </c>
      <c r="AJ4" s="85">
        <f>Proposition!S$24+Proposition!S$26+Proposition!S$29+Proposition!S$31+Proposition!S$36</f>
        <v>-5</v>
      </c>
      <c r="AK4" s="85">
        <f>Proposition!S$27+Proposition!S$29+Proposition!S$31</f>
        <v>-4</v>
      </c>
      <c r="AL4" s="85">
        <f>Proposition!S$24+Proposition!S$26+Proposition!S$31</f>
        <v>-1</v>
      </c>
      <c r="AM4" s="85">
        <f>Proposition!S$24+Proposition!S$29+Proposition!S$31+Proposition!S$36</f>
        <v>-3</v>
      </c>
      <c r="AN4" s="85">
        <f>Proposition!S$27+Proposition!S$28+Proposition!S$31</f>
        <v>-1</v>
      </c>
      <c r="AO4" s="85">
        <f>Proposition!S$24*2+Proposition!S$28+Proposition!S$31</f>
        <v>4</v>
      </c>
      <c r="AP4" s="85">
        <f>Proposition!S$24+Proposition!S$29+Proposition!S$31</f>
        <v>-1</v>
      </c>
      <c r="AQ4" s="85">
        <f>Proposition!S$24+Proposition!S$28+Proposition!S$30+Proposition!S$32+Proposition!S$36</f>
        <v>4</v>
      </c>
      <c r="AR4" s="85">
        <f>Proposition!S$24+Proposition!S$26+Proposition!S$29+Proposition!S$31</f>
        <v>-3</v>
      </c>
      <c r="AS4" s="85">
        <f>Proposition!S$24+Proposition!S$26+Proposition!S$31</f>
        <v>-1</v>
      </c>
      <c r="AT4" s="85">
        <f>Proposition!S$24+Proposition!S$28+Proposition!S$31+Proposition!S$41</f>
        <v>1</v>
      </c>
      <c r="AU4" s="85">
        <f>Proposition!S$24+Proposition!S$29+Proposition!S$31+Proposition!S$36</f>
        <v>-3</v>
      </c>
      <c r="AV4" s="86">
        <f>SUM(AF4-MIN(AF4:AU4),AH4-MIN(AF4:AU4),AI4-MIN(AF4:AU4),AJ4-MIN(AF4:AU4),AK4-MIN(AF4:AU4),AL4-MIN(AF4:AU4),AM4-MIN(AF4:AU4),AN4-MIN(AF4:AU4),AO4-MIN(AF4:AU4),AP4-MIN(AF4:AU4),AQ4-MIN(AF4:AU4),AR4-MIN(AF4:AU4),AS4-MIN(AF4:AU4),AT4-MIN(AF4:AU4),AU4-MIN(AF4:AU4))+((L4*SUM(AF4-MIN(AF4:AU4),AH4-MIN(AF4:AU4),AI4-MIN(AF4:AU4),AJ4-MIN(AF4:AU4),AK4-MIN(AF4:AU4),AL4-MIN(AF4:AU4),AM4-MIN(AF4:AU4),AN4-MIN(AF4:AU4),AO4-MIN(AF4:AU4),AP4-MIN(AF4:AU4),AQ4-MIN(AF4:AU4),AR4-MIN(AF4:AU4),AS4-MIN(AF4:AU4),AT4-MIN(AF4:AU4),AU4-MIN(AF4:AU4)))/(1-L4))</f>
        <v>472.7272727272728</v>
      </c>
    </row>
    <row r="5" spans="1:58" x14ac:dyDescent="0.25">
      <c r="A5" s="113" t="s">
        <v>176</v>
      </c>
      <c r="B5" t="s">
        <v>49</v>
      </c>
      <c r="D5" s="45" t="s">
        <v>66</v>
      </c>
      <c r="E5" s="151">
        <v>4610267</v>
      </c>
      <c r="F5" s="115">
        <f t="shared" si="15"/>
        <v>0.16176666618595625</v>
      </c>
      <c r="G5" s="13">
        <f t="shared" ca="1" si="16"/>
        <v>51.878958067902737</v>
      </c>
      <c r="H5" s="20">
        <f>E5+O$4*E$4+O$3*E$3+O$6*E$6+O$7*E$7+O$8*E$8+O$9*E$9+O$10*E$10+O$11*E$11+E$12*O$12+E$13*O$13+E$14*O$14+E$15*O$15+E$16*O$16+E$17*O$17+E$18*O$18</f>
        <v>5639039.5866724942</v>
      </c>
      <c r="I5" s="67">
        <f ca="1">O$21*E$4+O$20*E$3+O$23*E$6+O$24*E$7+O$25*E$8+O$26*E$9+O$27*E$10+O$28*E$11+E$12*O$29+E$13*O$30+E$14*O$31+E$15*O$32+E$16*O$33+E$17*O$34+E$18*O$35+B21*O36+B23*O37</f>
        <v>2030147.0094699911</v>
      </c>
      <c r="J5" s="87">
        <f t="shared" si="17"/>
        <v>1.0000000000000002</v>
      </c>
      <c r="K5" s="93" t="s">
        <v>66</v>
      </c>
      <c r="L5" s="4">
        <v>0.89</v>
      </c>
      <c r="M5" s="78">
        <f t="shared" ref="M5:M18" si="19">(AF5-MIN($AF5:$AU5))/$AV5</f>
        <v>4.0740740740740737E-3</v>
      </c>
      <c r="N5" s="78">
        <f t="shared" ref="N5:N18" si="20">(AG5-MIN($AF5:$AU5))/$AV5</f>
        <v>1.3580246913580244E-3</v>
      </c>
      <c r="O5" s="71"/>
      <c r="P5" s="4">
        <f t="shared" ref="P5:P18" si="21">(AI5-MIN($AF5:$AU5))/$AV5</f>
        <v>0</v>
      </c>
      <c r="Q5" s="4">
        <f t="shared" ref="Q5:Q18" si="22">(AJ5-MIN($AF5:$AU5))/$AV5</f>
        <v>8.1481481481481474E-3</v>
      </c>
      <c r="R5" s="4">
        <f t="shared" ref="R5:R18" si="23">(AK5-MIN($AF5:$AU5))/$AV5</f>
        <v>8.1481481481481474E-3</v>
      </c>
      <c r="S5" s="4">
        <f t="shared" ref="S5:S18" si="24">(AL5-MIN($AF5:$AU5))/$AV5</f>
        <v>1.3580246913580245E-2</v>
      </c>
      <c r="T5" s="4">
        <f t="shared" ref="T5:T18" si="25">(AM5-MIN($AF5:$AU5))/$AV5</f>
        <v>1.0864197530864195E-2</v>
      </c>
      <c r="U5" s="4">
        <f t="shared" ref="U5:U18" si="26">(AN5-MIN($AF5:$AU5))/$AV5</f>
        <v>4.0740740740740737E-3</v>
      </c>
      <c r="V5" s="4">
        <f t="shared" ref="V5:V18" si="27">(AO5-MIN($AF5:$AU5))/$AV5</f>
        <v>4.0740740740740737E-3</v>
      </c>
      <c r="W5" s="4">
        <f t="shared" ref="W5:W18" si="28">(AP5-MIN($AF5:$AU5))/$AV5</f>
        <v>1.4938271604938269E-2</v>
      </c>
      <c r="X5" s="4">
        <f t="shared" ref="X5:X18" si="29">(AQ5-MIN($AF5:$AU5))/$AV5</f>
        <v>1.3580246913580244E-3</v>
      </c>
      <c r="Y5" s="4">
        <f t="shared" ref="Y5:Y18" si="30">(AR5-MIN($AF5:$AU5))/$AV5</f>
        <v>1.4938271604938269E-2</v>
      </c>
      <c r="Z5" s="4">
        <f t="shared" ref="Z5:Z18" si="31">(AS5-MIN($AF5:$AU5))/$AV5</f>
        <v>1.0864197530864195E-2</v>
      </c>
      <c r="AA5" s="4">
        <f t="shared" ref="AA5:AA18" si="32">(AT5-MIN($AF5:$AU5))/$AV5</f>
        <v>2.7160493827160489E-3</v>
      </c>
      <c r="AB5" s="4">
        <f t="shared" ref="AB5:AB17" si="33">(AU5-MIN($AF5:$AU5))/$AV5</f>
        <v>1.0864197530864195E-2</v>
      </c>
      <c r="AD5" s="99" t="s">
        <v>66</v>
      </c>
      <c r="AE5" s="85"/>
      <c r="AF5" s="112">
        <f>Proposition!S$27+Proposition!S$29+Proposition!S$31+Proposition!S$38+Proposition!S$39+Proposition!S$43</f>
        <v>-4</v>
      </c>
      <c r="AG5" s="112">
        <f>Proposition!S$24+Proposition!S$29+Proposition!S$31+Proposition!S$35+Proposition!S$37+Proposition!S$38</f>
        <v>-6</v>
      </c>
      <c r="AH5" s="85"/>
      <c r="AI5" s="85">
        <f>Proposition!S$27+Proposition!S$29+Proposition!S$31+Proposition!S$38+Proposition!S$41</f>
        <v>-7</v>
      </c>
      <c r="AJ5" s="85">
        <f>Proposition!S$24+Proposition!S$26+Proposition!S$28+Proposition!S$31+Proposition!S$34</f>
        <v>-1</v>
      </c>
      <c r="AK5" s="85">
        <f>Proposition!S$27+Proposition!S$28+Proposition!S$31</f>
        <v>-1</v>
      </c>
      <c r="AL5" s="85">
        <f>Proposition!S$24*2+Proposition!S$31</f>
        <v>3</v>
      </c>
      <c r="AM5" s="85">
        <f>Proposition!S$24+Proposition!S$28+Proposition!S$31+Proposition!S$34</f>
        <v>1</v>
      </c>
      <c r="AN5" s="85">
        <f>Proposition!S$27+Proposition!S$29+Proposition!S$31</f>
        <v>-4</v>
      </c>
      <c r="AO5" s="85">
        <f>Proposition!S$27+Proposition!S$29+Proposition!S$31</f>
        <v>-4</v>
      </c>
      <c r="AP5" s="85">
        <f>Proposition!S$24*2+Proposition!S$28+Proposition!S$31</f>
        <v>4</v>
      </c>
      <c r="AQ5" s="85">
        <f>Proposition!S$27+Proposition!S$29+Proposition!S$31+Proposition!S$35</f>
        <v>-6</v>
      </c>
      <c r="AR5" s="85">
        <f>Proposition!S$24*2+Proposition!S$28+Proposition!S$31</f>
        <v>4</v>
      </c>
      <c r="AS5" s="85">
        <f>Proposition!S$24+Proposition!S$31</f>
        <v>1</v>
      </c>
      <c r="AT5" s="85">
        <f>Proposition!S$27+Proposition!S$29+Proposition!S$31+Proposition!S$41</f>
        <v>-5</v>
      </c>
      <c r="AU5" s="85">
        <f>Proposition!S$24+Proposition!S$28+Proposition!S$31+Proposition!S$34</f>
        <v>1</v>
      </c>
      <c r="AV5" s="86">
        <f>SUM(AF5-MIN(AF5:AU5),AG5-MIN(AF5:AU5),AI5-MIN(AF5:AU5),AJ5-MIN(AF5:AU5),AK5-MIN(AF5:AU5),AL5-MIN(AF5:AU5),AM5-MIN(AF5:AU5),AN5-MIN(AF5:AU5),AO5-MIN(AF5:AU5),AP5-MIN(AF5:AU5),AQ5-MIN(AF5:AU5),AR5-MIN(AF5:AU5),AS5-MIN(AF5:AU5),AT5-MIN(AF5:AU5),AU5-MIN(AF5:AU5))+((L5*SUM(AF5-MIN(AF5:AU5),AG5-MIN(AF5:AU5),AI5-MIN(AF5:AU5),AJ5-MIN(AF5:AU5),AK5-MIN(AF5:AU5),AL5-MIN(AF5:AU5),AM5-MIN(AF5:AU5),AN5-MIN(AF5:AU5),AO5-MIN(AF5:AU5),AP5-MIN(AF5:AU5),AQ5-MIN(AF5:AU5),AR5-MIN(AF5:AU5),AS5-MIN(AF5:AU5),AT5-MIN(AF5:AU5),AU5-MIN(AF5:AU5)))/(1-L5))</f>
        <v>736.36363636363649</v>
      </c>
    </row>
    <row r="6" spans="1:58" x14ac:dyDescent="0.25">
      <c r="A6" s="130"/>
      <c r="B6" t="s">
        <v>86</v>
      </c>
      <c r="D6" s="46" t="s">
        <v>92</v>
      </c>
      <c r="E6" s="151">
        <v>1949219</v>
      </c>
      <c r="F6" s="115">
        <f t="shared" si="15"/>
        <v>6.839488023065117E-2</v>
      </c>
      <c r="G6" s="13">
        <f t="shared" ca="1" si="16"/>
        <v>17.396778381503314</v>
      </c>
      <c r="H6" s="20">
        <f>E6+P$4*E$4+P$5*E$5+P$3*E$3+P$7*E$7+P$8*E$8+P$9*E$9+P$10*E$10+P$11*E$11+E$12*P$12+E$13*P$13+E$14*P$14+E$15*P$15+E$16*P$16+E$17*P$17+E$18*P$18</f>
        <v>2379498.7331469394</v>
      </c>
      <c r="I6" s="67">
        <f ca="1">P$21*E$4+P$22*E$5+P$20*E$3+P$24*E$7+P$25*E$8+P$26*E$9+P$27*E$10+P$28*E$11+E$12*P$29+E$13*P$30+E$14*P$31+E$15*P$32+E$16*P$33+E$17*P$34+E$18*P$35+B21*P36+B23*P37</f>
        <v>2879194.0274847364</v>
      </c>
      <c r="J6" s="87">
        <f t="shared" si="17"/>
        <v>1</v>
      </c>
      <c r="K6" s="91" t="s">
        <v>92</v>
      </c>
      <c r="L6" s="4">
        <v>0.55000000000000004</v>
      </c>
      <c r="M6" s="79">
        <f t="shared" si="19"/>
        <v>5.3571428571428568E-2</v>
      </c>
      <c r="N6" s="79">
        <f t="shared" si="20"/>
        <v>1.0714285714285713E-2</v>
      </c>
      <c r="O6" s="4">
        <f t="shared" ref="O6:O18" si="34">(AH6-MIN($AF6:$AU6))/$AV6</f>
        <v>2.1428571428571425E-2</v>
      </c>
      <c r="P6" s="71"/>
      <c r="Q6" s="4">
        <f t="shared" si="22"/>
        <v>0</v>
      </c>
      <c r="R6" s="4">
        <f t="shared" si="23"/>
        <v>2.1428571428571425E-2</v>
      </c>
      <c r="S6" s="4">
        <f t="shared" si="24"/>
        <v>4.2857142857142851E-2</v>
      </c>
      <c r="T6" s="4">
        <f t="shared" si="25"/>
        <v>0</v>
      </c>
      <c r="U6" s="4">
        <f t="shared" si="26"/>
        <v>5.3571428571428568E-2</v>
      </c>
      <c r="V6" s="4">
        <f t="shared" si="27"/>
        <v>7.4999999999999997E-2</v>
      </c>
      <c r="W6" s="4">
        <f t="shared" si="28"/>
        <v>2.1428571428571425E-2</v>
      </c>
      <c r="X6" s="4">
        <f t="shared" si="29"/>
        <v>4.2857142857142851E-2</v>
      </c>
      <c r="Y6" s="4">
        <f t="shared" si="30"/>
        <v>2.1428571428571425E-2</v>
      </c>
      <c r="Z6" s="4">
        <f t="shared" si="31"/>
        <v>4.2857142857142851E-2</v>
      </c>
      <c r="AA6" s="4">
        <f t="shared" si="32"/>
        <v>4.2857142857142851E-2</v>
      </c>
      <c r="AB6" s="4">
        <f t="shared" si="33"/>
        <v>0</v>
      </c>
      <c r="AD6" s="99" t="s">
        <v>92</v>
      </c>
      <c r="AE6" s="85"/>
      <c r="AF6" s="112">
        <f>Proposition!S$27+Proposition!S$28+Proposition!S$31+Proposition!S$38+Proposition!S$39+Proposition!S$43</f>
        <v>-1</v>
      </c>
      <c r="AG6" s="112">
        <f>Proposition!S$27+Proposition!S$28+Proposition!S$31+Proposition!S$34+Proposition!S$37+Proposition!S$38</f>
        <v>-5</v>
      </c>
      <c r="AH6" s="85">
        <f>Proposition!S$27+Proposition!S$29+Proposition!S$31+Proposition!S$38+Proposition!S$43</f>
        <v>-4</v>
      </c>
      <c r="AI6" s="85"/>
      <c r="AJ6" s="85">
        <f>Proposition!S$27+Proposition!S$29+Proposition!S$31+Proposition!S$35</f>
        <v>-6</v>
      </c>
      <c r="AK6" s="85">
        <f>Proposition!S$27+Proposition!S$29+Proposition!S$31</f>
        <v>-4</v>
      </c>
      <c r="AL6" s="85">
        <f>Proposition!S$27+Proposition!S$31</f>
        <v>-2</v>
      </c>
      <c r="AM6" s="85">
        <f>Proposition!S$27+Proposition!S$29+Proposition!S$31+Proposition!S$35</f>
        <v>-6</v>
      </c>
      <c r="AN6" s="85">
        <f>Proposition!S$27+Proposition!S$28+Proposition!S$31</f>
        <v>-1</v>
      </c>
      <c r="AO6" s="85">
        <f>Proposition!S$27+Proposition!S$28+Proposition!S$30</f>
        <v>1</v>
      </c>
      <c r="AP6" s="85">
        <f>Proposition!S$27+Proposition!S$29+Proposition!S$31</f>
        <v>-4</v>
      </c>
      <c r="AQ6" s="85">
        <f>Proposition!S$27+Proposition!S$28+Proposition!S$31+Proposition!S$34</f>
        <v>-2</v>
      </c>
      <c r="AR6" s="85">
        <f>Proposition!S$27+Proposition!S$29+Proposition!S$31</f>
        <v>-4</v>
      </c>
      <c r="AS6" s="85">
        <f>Proposition!S$27+Proposition!S$31</f>
        <v>-2</v>
      </c>
      <c r="AT6" s="85">
        <f>Proposition!S$27+Proposition!S$28+Proposition!S$31+Proposition!S$41</f>
        <v>-2</v>
      </c>
      <c r="AU6" s="85">
        <f>Proposition!S$27+Proposition!S$29+Proposition!S$31+Proposition!S$35</f>
        <v>-6</v>
      </c>
      <c r="AV6" s="86">
        <f>SUM(AF6-MIN(AF6:AU6),AG6-MIN(AF6:AU6),AH6-MIN(AF6:AU6),AJ6-MIN(AF6:AU6),AK6-MIN(AF6:AU6),AL6-MIN(AF6:AU6),AM6-MIN(AF6:AU6),AN6-MIN(AF6:AU6),AO6-MIN(AF6:AU6),AP6-MIN(AF6:AU6),AQ6-MIN(AF6:AU6),AR6-MIN(AF6:AU6),AS6-MIN(AF6:AU6),AT6-MIN(AF6:AU6),AU6-MIN(AF6:AU6))+((L6*SUM(AF6-MIN(AF6:AU6),AG6-MIN(AF6:AU6),AH6-MIN(AF6:AU6),AJ6-MIN(AF6:AU6),AK6-MIN(AF6:AU6),AL6-MIN(AF6:AU6),AM6-MIN(AF6:AU6),AN6-MIN(AF6:AU6),AO6-MIN(AF6:AU6),AP6-MIN(AF6:AU6),AQ6-MIN(AF6:AU6),AR6-MIN(AF6:AU6),AS6-MIN(AF6:AU6),AT6-MIN(AF6:AU6),AU6-MIN(AF6:AU6)))/(1-L6))</f>
        <v>93.333333333333343</v>
      </c>
    </row>
    <row r="7" spans="1:58" x14ac:dyDescent="0.25">
      <c r="A7" s="130"/>
      <c r="B7" t="s">
        <v>101</v>
      </c>
      <c r="D7" s="45" t="s">
        <v>76</v>
      </c>
      <c r="E7" s="151">
        <v>1630118</v>
      </c>
      <c r="F7" s="115">
        <f t="shared" si="15"/>
        <v>5.7198152373760275E-2</v>
      </c>
      <c r="G7" s="13">
        <f t="shared" ca="1" si="16"/>
        <v>15.216014503325638</v>
      </c>
      <c r="H7" s="20">
        <f>E7+Q$4*E$4+Q$5*E$5+Q$6*E$6+Q$3*E$3+Q$8*E$8+Q$9*E$9+Q$10*E$10+Q$11*E$11+E$12*Q$12+E$13*Q$13+E$14*Q$14+E$15*Q$15+E$16*Q$16+E$17*Q$17+E$18*Q$18</f>
        <v>2099761.7263855115</v>
      </c>
      <c r="I7" s="67">
        <f ca="1">Q$21*E$4+Q$22*E$5+Q$23*E$6+Q$20*E$3+Q$25*E$8+Q$26*E$9+Q$27*E$10+Q$28*E$11+E$12*Q$29+E$13*Q$30+E$14*Q$31+E$15*Q$32+E$16*Q$33+E$17*Q$34+E$18*Q$35+B21*Q36+B23*Q37</f>
        <v>2601721.2422382636</v>
      </c>
      <c r="J7" s="87">
        <f t="shared" si="17"/>
        <v>1.0000000000000002</v>
      </c>
      <c r="K7" s="93" t="s">
        <v>76</v>
      </c>
      <c r="L7" s="4">
        <v>0.55000000000000004</v>
      </c>
      <c r="M7" s="79">
        <f t="shared" si="19"/>
        <v>2.2499999999999999E-2</v>
      </c>
      <c r="N7" s="79">
        <f t="shared" si="20"/>
        <v>5.6249999999999998E-3</v>
      </c>
      <c r="O7" s="4">
        <f t="shared" si="34"/>
        <v>3.9375E-2</v>
      </c>
      <c r="P7" s="4">
        <f t="shared" si="21"/>
        <v>1.125E-2</v>
      </c>
      <c r="Q7" s="71"/>
      <c r="R7" s="4">
        <f t="shared" si="23"/>
        <v>3.3750000000000002E-2</v>
      </c>
      <c r="S7" s="4">
        <f t="shared" si="24"/>
        <v>4.4999999999999998E-2</v>
      </c>
      <c r="T7" s="4">
        <f t="shared" si="25"/>
        <v>5.6250000000000001E-2</v>
      </c>
      <c r="U7" s="4">
        <f t="shared" si="26"/>
        <v>1.6875000000000001E-2</v>
      </c>
      <c r="V7" s="4">
        <f t="shared" si="27"/>
        <v>1.125E-2</v>
      </c>
      <c r="W7" s="4">
        <f t="shared" si="28"/>
        <v>5.0625000000000003E-2</v>
      </c>
      <c r="X7" s="4">
        <f t="shared" si="29"/>
        <v>0</v>
      </c>
      <c r="Y7" s="4">
        <f t="shared" si="30"/>
        <v>5.0625000000000003E-2</v>
      </c>
      <c r="Z7" s="4">
        <f t="shared" si="31"/>
        <v>4.4999999999999998E-2</v>
      </c>
      <c r="AA7" s="4">
        <f t="shared" si="32"/>
        <v>1.125E-2</v>
      </c>
      <c r="AB7" s="4">
        <f t="shared" si="33"/>
        <v>5.0625000000000003E-2</v>
      </c>
      <c r="AD7" s="99" t="s">
        <v>76</v>
      </c>
      <c r="AE7" s="85"/>
      <c r="AF7" s="112">
        <f>Proposition!S$24+Proposition!S$26+Proposition!S$29+Proposition!S$31+Proposition!S$33+Proposition!S$39+Proposition!S$43</f>
        <v>-3</v>
      </c>
      <c r="AG7" s="112">
        <f>Proposition!S$24+Proposition!S$26+Proposition!S$29+Proposition!S$31+Proposition!S$36+Proposition!S$37</f>
        <v>-6</v>
      </c>
      <c r="AH7" s="85">
        <f>Proposition!S$24+Proposition!S$26+Proposition!S$28+Proposition!S$31+Proposition!S$33+Proposition!S$43</f>
        <v>0</v>
      </c>
      <c r="AI7" s="85">
        <f>Proposition!S$27+Proposition!S$29+Proposition!S$31+Proposition!S$41</f>
        <v>-5</v>
      </c>
      <c r="AJ7" s="85"/>
      <c r="AK7" s="85">
        <f>Proposition!S$27+Proposition!S$28+Proposition!S$31</f>
        <v>-1</v>
      </c>
      <c r="AL7" s="85">
        <f>Proposition!S$24+Proposition!S$31</f>
        <v>1</v>
      </c>
      <c r="AM7" s="85">
        <f>Proposition!S$24*2+Proposition!S$25+Proposition!S$28+Proposition!S$31+Proposition!S$36</f>
        <v>3</v>
      </c>
      <c r="AN7" s="85">
        <f>Proposition!S$27+Proposition!S$29+Proposition!S$31</f>
        <v>-4</v>
      </c>
      <c r="AO7" s="85">
        <f>Proposition!S$26+Proposition!S$29+Proposition!S$31</f>
        <v>-5</v>
      </c>
      <c r="AP7" s="85">
        <f>Proposition!S$24+Proposition!S$28+Proposition!S$30+Proposition!S$33</f>
        <v>2</v>
      </c>
      <c r="AQ7" s="85">
        <f>Proposition!S$26+Proposition!S$29+Proposition!S$31+Proposition!S$36</f>
        <v>-7</v>
      </c>
      <c r="AR7" s="85">
        <f>Proposition!S$24+Proposition!S$28+Proposition!S$31</f>
        <v>2</v>
      </c>
      <c r="AS7" s="85">
        <f>Proposition!S$24+Proposition!S$31</f>
        <v>1</v>
      </c>
      <c r="AT7" s="85">
        <f>Proposition!S$27+Proposition!S$29+Proposition!S$31+Proposition!S$41</f>
        <v>-5</v>
      </c>
      <c r="AU7" s="85">
        <f>Proposition!S$24+Proposition!S$28+Proposition!S$30+Proposition!S$36</f>
        <v>2</v>
      </c>
      <c r="AV7" s="86">
        <f>SUM(AF7-MIN(AF7:AU7),AG7-MIN(AF7:AU7),AH7-MIN(AF7:AU7),AI7-MIN(AF7:AU7),AK7-MIN(AF7:AU7),AL7-MIN(AF7:AU7),AM7-MIN(AF7:AU7),AN7-MIN(AF7:AU7),AO7-MIN(AF7:AU7),AP7-MIN(AF7:AU7),AQ7-MIN(AF7:AU7),AR7-MIN(AF7:AU7),AS7-MIN(AF7:AU7),AT7-MIN(AF7:AU7),AU7-MIN(AF7:AU7))+((L7*SUM(AF7-MIN(AF7:AU7),AG7-MIN(AF7:AU7),AH7-MIN(AF7:AU7),AI7-MIN(AF7:AU7),AK7-MIN(AF7:AU7),AL7-MIN(AF7:AU7),AM7-MIN(AF7:AU7),AN7-MIN(AF7:AU7),AO7-MIN(AF7:AU7),AP7-MIN(AF7:AU7),AQ7-MIN(AF7:AU7),AR7-MIN(AF7:AU7),AS7-MIN(AF7:AU7),AT7-MIN(AF7:AU7),AU7-MIN(AF7:AU7)))/(1-L7))</f>
        <v>177.77777777777777</v>
      </c>
    </row>
    <row r="8" spans="1:58" x14ac:dyDescent="0.25">
      <c r="A8" s="130"/>
      <c r="B8" t="s">
        <v>109</v>
      </c>
      <c r="D8" s="45" t="s">
        <v>110</v>
      </c>
      <c r="E8" s="151">
        <v>1518568</v>
      </c>
      <c r="F8" s="115">
        <f t="shared" si="15"/>
        <v>5.3284046832141226E-2</v>
      </c>
      <c r="G8" s="13">
        <f t="shared" ca="1" si="16"/>
        <v>17.249434494424996</v>
      </c>
      <c r="H8" s="20">
        <f>E8+R$4*E$4+R$5*E$5+R$6*E$6+R$7*E$7+R$3*E$3+R$9*E$9+R$10*E$10+R$11*E$11+E$12*R$12+E$13*R$13+E$14*R$14+E$15*R$15+E$16*R$16+E$17*R$17+E$18*R$18</f>
        <v>2122127.0399805596</v>
      </c>
      <c r="I8" s="67">
        <f ca="1">R$21*E$4+R$22*E$5+R$23*E$6+R$24*E$7+R$20*E$3+R$26*E$9+R$27*E$10+R$28*E$11+E$12*R$29+E$13*R$30+E$14*R$31+E$15*R$32+E$16*R$33+E$17*R$34+E$18*R$35+B21*R36+B23*R37</f>
        <v>1787326.1574212704</v>
      </c>
      <c r="J8" s="87">
        <f>SUM(L8:AB8)</f>
        <v>0.99999999999999956</v>
      </c>
      <c r="K8" s="93" t="s">
        <v>110</v>
      </c>
      <c r="L8" s="4">
        <v>0.55000000000000004</v>
      </c>
      <c r="M8" s="79">
        <f t="shared" si="19"/>
        <v>4.8648648648648644E-2</v>
      </c>
      <c r="N8" s="79">
        <f t="shared" si="20"/>
        <v>0</v>
      </c>
      <c r="O8" s="4">
        <f t="shared" si="34"/>
        <v>4.8648648648648644E-2</v>
      </c>
      <c r="P8" s="4">
        <f t="shared" si="21"/>
        <v>1.2162162162162161E-2</v>
      </c>
      <c r="Q8" s="4">
        <f t="shared" si="22"/>
        <v>3.0405405405405404E-2</v>
      </c>
      <c r="R8" s="71"/>
      <c r="S8" s="4">
        <f t="shared" si="24"/>
        <v>2.4324324324324322E-2</v>
      </c>
      <c r="T8" s="4">
        <f t="shared" si="25"/>
        <v>3.0405405405405404E-2</v>
      </c>
      <c r="U8" s="4">
        <f t="shared" si="26"/>
        <v>1.8243243243243241E-2</v>
      </c>
      <c r="V8" s="4">
        <f t="shared" si="27"/>
        <v>2.4324324324324322E-2</v>
      </c>
      <c r="W8" s="4">
        <f t="shared" si="28"/>
        <v>3.6486486486486482E-2</v>
      </c>
      <c r="X8" s="4">
        <f t="shared" si="29"/>
        <v>6.0810810810810806E-3</v>
      </c>
      <c r="Y8" s="4">
        <f t="shared" si="30"/>
        <v>4.2567567567567563E-2</v>
      </c>
      <c r="Z8" s="4">
        <f t="shared" si="31"/>
        <v>4.8648648648648644E-2</v>
      </c>
      <c r="AA8" s="4">
        <f t="shared" si="32"/>
        <v>3.0405405405405404E-2</v>
      </c>
      <c r="AB8" s="4">
        <f t="shared" si="33"/>
        <v>4.8648648648648644E-2</v>
      </c>
      <c r="AD8" s="99" t="s">
        <v>110</v>
      </c>
      <c r="AE8" s="85"/>
      <c r="AF8" s="112">
        <f>Proposition!S$24+Proposition!S$29+Proposition!S$31+Proposition!S$39+Proposition!S$43</f>
        <v>1</v>
      </c>
      <c r="AG8" s="112">
        <f>Proposition!S$27+Proposition!S$29+Proposition!S$31+Proposition!S$35+Proposition!S$37</f>
        <v>-7</v>
      </c>
      <c r="AH8" s="85">
        <f>Proposition!S$27+Proposition!S$28+Proposition!S$31+Proposition!S$43</f>
        <v>1</v>
      </c>
      <c r="AI8" s="85">
        <f>Proposition!S$27+Proposition!S$29+Proposition!S$31+Proposition!S$41</f>
        <v>-5</v>
      </c>
      <c r="AJ8" s="85">
        <f>Proposition!S$27+Proposition!S$28+Proposition!S$31+Proposition!S$34</f>
        <v>-2</v>
      </c>
      <c r="AK8" s="85"/>
      <c r="AL8" s="85">
        <f>Proposition!S$26+Proposition!S$31</f>
        <v>-3</v>
      </c>
      <c r="AM8" s="85">
        <f>Proposition!S$27+Proposition!S$28+Proposition!S$31+Proposition!S$34</f>
        <v>-2</v>
      </c>
      <c r="AN8" s="85">
        <f>Proposition!S$27+Proposition!S$29+Proposition!S$31</f>
        <v>-4</v>
      </c>
      <c r="AO8" s="85">
        <f>Proposition!S$24+Proposition!S$26+Proposition!S$29+Proposition!S$31</f>
        <v>-3</v>
      </c>
      <c r="AP8" s="85">
        <f>Proposition!S$27+Proposition!S$28+Proposition!S$31</f>
        <v>-1</v>
      </c>
      <c r="AQ8" s="85">
        <f>Proposition!S$27+Proposition!S$29+Proposition!S$31+Proposition!S$35</f>
        <v>-6</v>
      </c>
      <c r="AR8" s="85">
        <f>Proposition!S$28+Proposition!S$31</f>
        <v>0</v>
      </c>
      <c r="AS8" s="85">
        <f>Proposition!S$24+Proposition!S$31</f>
        <v>1</v>
      </c>
      <c r="AT8" s="85">
        <f>Proposition!S$24+Proposition!S$29+Proposition!S$31+Proposition!S$41</f>
        <v>-2</v>
      </c>
      <c r="AU8" s="85">
        <f>Proposition!S$24+Proposition!S$28+Proposition!S$31+Proposition!S$34</f>
        <v>1</v>
      </c>
      <c r="AV8" s="86">
        <f>SUM(AF8-MIN(AF8:AU8),AG8-MIN(AF8:AU8),AH8-MIN(AF8:AU8),AI8-MIN(AF8:AU8),AJ8-MIN(AF8:AU8),AL8-MIN(AF8:AU8),AM8-MIN(AF8:AU8),AN8-MIN(AF8:AU8),AO8-MIN(AF8:AU8),AP8-MIN(AF8:AU8),AQ8-MIN(AF8:AU8),AR8-MIN(AF8:AU8),AS8-MIN(AF8:AU8),AT8-MIN(AF8:AU8),AU8-MIN(AF8:AU8))+((L8*SUM(AF8-MIN(AF8:AU8),AG8-MIN(AF8:AU8),AH8-MIN(AF8:AU8),AI8-MIN(AF8:AU8),AJ8-MIN(AF8:AU8),AL8-MIN(AF8:AU8),AM8-MIN(AF8:AU8),AN8-MIN(AF8:AU8),AO8-MIN(AF8:AU8),AP8-MIN(AF8:AU8),AQ8-MIN(AF8:AU8),AR8-MIN(AF8:AU8),AS8-MIN(AF8:AU8),AT8-MIN(AF8:AU8),AU8-MIN(AF8:AU8)))/(1-L8))</f>
        <v>164.44444444444446</v>
      </c>
    </row>
    <row r="9" spans="1:58" x14ac:dyDescent="0.25">
      <c r="A9" s="130"/>
      <c r="B9" t="s">
        <v>111</v>
      </c>
      <c r="D9" s="64" t="s">
        <v>100</v>
      </c>
      <c r="E9" s="151">
        <v>1495774</v>
      </c>
      <c r="F9" s="115">
        <f t="shared" si="15"/>
        <v>5.2484242961987351E-2</v>
      </c>
      <c r="G9" s="13">
        <f t="shared" ca="1" si="16"/>
        <v>21.345363831020631</v>
      </c>
      <c r="H9" s="20">
        <f>E9+S$4*E$4+S$5*E$5+S$6*E$6+S$7*E$7+S$8*E$8+S$3*E$3+S$10*E$10+S$11*E$11+E$12*S$12+E$13*S$13+E$14*S$14+E$15*S$15+E$16*S$16+E$17*S$17+E$18*S$18</f>
        <v>2435265.7247978435</v>
      </c>
      <c r="I9" s="67">
        <f ca="1">S$21*E$4+S$22*E$5+S$23*E$6+S$24*E$7+S$25*E$8+S$20*E$3+S$27*E$10+S$28*E$11+E$12*S$29+E$13*S$30+E$14*S$31+E$15*S$32+E$16*S$33+E$17*S$34+E$18*S$35+B21*S36+B23*S37</f>
        <v>1353282.0376310127</v>
      </c>
      <c r="J9" s="87">
        <f t="shared" si="17"/>
        <v>1</v>
      </c>
      <c r="K9" s="94" t="s">
        <v>100</v>
      </c>
      <c r="L9" s="4">
        <v>0.34</v>
      </c>
      <c r="M9" s="79">
        <f t="shared" si="19"/>
        <v>6.4705882352941169E-2</v>
      </c>
      <c r="N9" s="79">
        <f t="shared" si="20"/>
        <v>0</v>
      </c>
      <c r="O9" s="4">
        <f t="shared" si="34"/>
        <v>0.1164705882352941</v>
      </c>
      <c r="P9" s="4">
        <f t="shared" si="21"/>
        <v>1.2941176470588234E-2</v>
      </c>
      <c r="Q9" s="4">
        <f t="shared" si="22"/>
        <v>3.8823529411764701E-2</v>
      </c>
      <c r="R9" s="4">
        <f t="shared" si="23"/>
        <v>1.2941176470588234E-2</v>
      </c>
      <c r="S9" s="71"/>
      <c r="T9" s="4">
        <f t="shared" si="25"/>
        <v>1.2941176470588234E-2</v>
      </c>
      <c r="U9" s="4">
        <f t="shared" si="26"/>
        <v>2.5882352941176467E-2</v>
      </c>
      <c r="V9" s="4">
        <f t="shared" si="27"/>
        <v>1.2941176470588234E-2</v>
      </c>
      <c r="W9" s="4">
        <f t="shared" si="28"/>
        <v>9.0588235294117636E-2</v>
      </c>
      <c r="X9" s="4">
        <f t="shared" si="29"/>
        <v>0</v>
      </c>
      <c r="Y9" s="4">
        <f t="shared" si="30"/>
        <v>9.0588235294117636E-2</v>
      </c>
      <c r="Z9" s="4">
        <f t="shared" si="31"/>
        <v>0.14235294117647057</v>
      </c>
      <c r="AA9" s="4">
        <f t="shared" si="32"/>
        <v>0</v>
      </c>
      <c r="AB9" s="4">
        <f t="shared" si="33"/>
        <v>3.8823529411764701E-2</v>
      </c>
      <c r="AD9" s="99" t="s">
        <v>100</v>
      </c>
      <c r="AE9" s="85"/>
      <c r="AF9" s="112">
        <f>Proposition!S$24+Proposition!S$26+Proposition!S$31+Proposition!S$39+Proposition!S$43</f>
        <v>1</v>
      </c>
      <c r="AG9" s="112">
        <f>Proposition!S$24+Proposition!S$26+Proposition!S$31+Proposition!S$35+Proposition!S$37</f>
        <v>-4</v>
      </c>
      <c r="AH9" s="85">
        <f>Proposition!S$24*2+Proposition!S$31+Proposition!S$43</f>
        <v>5</v>
      </c>
      <c r="AI9" s="85">
        <f>Proposition!S$27+Proposition!S$31+Proposition!S$41</f>
        <v>-3</v>
      </c>
      <c r="AJ9" s="85">
        <f>Proposition!S$24+Proposition!S$31+Proposition!S$35</f>
        <v>-1</v>
      </c>
      <c r="AK9" s="85">
        <f>Proposition!S$26+Proposition!S$31</f>
        <v>-3</v>
      </c>
      <c r="AL9" s="85"/>
      <c r="AM9" s="85">
        <f>Proposition!S$24+Proposition!S$26+Proposition!S$31+Proposition!S$35</f>
        <v>-3</v>
      </c>
      <c r="AN9" s="85">
        <f>Proposition!S$26</f>
        <v>-2</v>
      </c>
      <c r="AO9" s="85">
        <f>Proposition!S$26+Proposition!S$31</f>
        <v>-3</v>
      </c>
      <c r="AP9" s="85">
        <f>Proposition!S$24*2+Proposition!S$31</f>
        <v>3</v>
      </c>
      <c r="AQ9" s="85">
        <f>Proposition!S$27+Proposition!S$31+Proposition!S$35</f>
        <v>-4</v>
      </c>
      <c r="AR9" s="85">
        <f>Proposition!S$24*2+Proposition!S$31</f>
        <v>3</v>
      </c>
      <c r="AS9" s="85">
        <f>Proposition!S$24*3+Proposition!S$28</f>
        <v>7</v>
      </c>
      <c r="AT9" s="85">
        <f>Proposition!S$24+Proposition!S$26*2+Proposition!S$31+Proposition!S$41</f>
        <v>-4</v>
      </c>
      <c r="AU9" s="85">
        <f>Proposition!S$24+Proposition!S$31+Proposition!S$35</f>
        <v>-1</v>
      </c>
      <c r="AV9" s="86">
        <f>SUM(AF9-MIN(AF9:AU9),AG9-MIN(AF9:AU9),AH9-MIN(AF9:AU9),AI9-MIN(AF9:AU9),AJ9-MIN(AF9:AU9),AK9-MIN(AF9:AU9),AM9-MIN(AF9:AU9),AN9-MIN(AF9:AU9),AO9-MIN(AF9:AU9),AP9-MIN(AF9:AU9),AQ9-MIN(AF9:AU9),AR9-MIN(AF9:AU9),AS9-MIN(AF9:AU9),AT9-MIN(AF9:AU9),AU9-MIN(AF9:AU9))+((L9*SUM(AF9-MIN(AF9:AU9),AG9-MIN(AF9:AU9),AH9-MIN(AF9:AU9),AI9-MIN(AF9:AU9),AJ9-MIN(AF9:AU9),AK9-MIN(AF9:AU9),AM9-MIN(AF9:AU9),AN9-MIN(AF9:AU9),AO9-MIN(AF9:AU9),AP9-MIN(AF9:AU9),AQ9-MIN(AF9:AU9),AR9-MIN(AF9:AU9),AS9-MIN(AF9:AU9),AT9-MIN(AF9:AU9),AU9-MIN(AF9:AU9)))/(1-L9))</f>
        <v>77.27272727272728</v>
      </c>
    </row>
    <row r="10" spans="1:58" x14ac:dyDescent="0.25">
      <c r="A10" s="130"/>
      <c r="B10" t="s">
        <v>93</v>
      </c>
      <c r="D10" s="65" t="s">
        <v>94</v>
      </c>
      <c r="E10" s="151">
        <v>1210562</v>
      </c>
      <c r="F10" s="115">
        <f t="shared" si="15"/>
        <v>4.247662422835892E-2</v>
      </c>
      <c r="G10" s="13">
        <f t="shared" ca="1" si="16"/>
        <v>12.274547691107953</v>
      </c>
      <c r="H10" s="20">
        <f>E10+T$4*E$4+T$5*E$5+T$6*E$6+T$7*E$7+T$8*E$8+T$9*E$9+T$3*E$3+T$11*E$11+E$12*T$12+E$13*T$13+E$14*T$14+E$15*T$15+E$16*T$16+E$17*T$17+E$18*T$18</f>
        <v>1660158.7997078334</v>
      </c>
      <c r="I10" s="67">
        <f ca="1">T$21*E$4+T$22*E$5+T$23*E$6+T$24*E$7+T$25*E$8+T$26*E$9+T$20*E$3+T$28*E$11+E$12*T$29+E$13*T$30+E$14*T$31+E$15*T$32+E$16*T$33+E$17*T$34+E$18*T$35+B21*T36+B23*T37</f>
        <v>1947168.1376866717</v>
      </c>
      <c r="J10" s="87">
        <f t="shared" si="17"/>
        <v>1.0000000000000002</v>
      </c>
      <c r="K10" s="95" t="s">
        <v>94</v>
      </c>
      <c r="L10" s="4">
        <v>0.21</v>
      </c>
      <c r="M10" s="79">
        <f t="shared" si="19"/>
        <v>5.8210526315789476E-2</v>
      </c>
      <c r="N10" s="79">
        <f t="shared" si="20"/>
        <v>1.6631578947368421E-2</v>
      </c>
      <c r="O10" s="4">
        <f t="shared" si="34"/>
        <v>9.9789473684210525E-2</v>
      </c>
      <c r="P10" s="4">
        <f t="shared" si="21"/>
        <v>2.4947368421052631E-2</v>
      </c>
      <c r="Q10" s="4">
        <f t="shared" si="22"/>
        <v>9.1473684210526318E-2</v>
      </c>
      <c r="R10" s="4">
        <f t="shared" si="23"/>
        <v>5.8210526315789476E-2</v>
      </c>
      <c r="S10" s="4">
        <f t="shared" si="24"/>
        <v>5.8210526315789476E-2</v>
      </c>
      <c r="T10" s="71"/>
      <c r="U10" s="4">
        <f t="shared" si="26"/>
        <v>3.3263157894736842E-2</v>
      </c>
      <c r="V10" s="4">
        <f t="shared" si="27"/>
        <v>3.3263157894736842E-2</v>
      </c>
      <c r="W10" s="4">
        <f t="shared" si="28"/>
        <v>8.3157894736842111E-2</v>
      </c>
      <c r="X10" s="4">
        <f t="shared" si="29"/>
        <v>0</v>
      </c>
      <c r="Y10" s="4">
        <f t="shared" si="30"/>
        <v>8.3157894736842111E-2</v>
      </c>
      <c r="Z10" s="4">
        <f t="shared" si="31"/>
        <v>5.8210526315789476E-2</v>
      </c>
      <c r="AA10" s="4">
        <f t="shared" si="32"/>
        <v>2.4947368421052631E-2</v>
      </c>
      <c r="AB10" s="4">
        <f t="shared" si="33"/>
        <v>6.6526315789473683E-2</v>
      </c>
      <c r="AD10" s="99" t="s">
        <v>94</v>
      </c>
      <c r="AE10" s="85"/>
      <c r="AF10" s="112">
        <f>Proposition!S$24+Proposition!S$29+Proposition!S$31+Proposition!S$33+Proposition!S$39+Proposition!S$43</f>
        <v>-1</v>
      </c>
      <c r="AG10" s="112">
        <f>Proposition!S$24+Proposition!S$29+Proposition!S$31+Proposition!S$33+Proposition!S$36+Proposition!S$37</f>
        <v>-6</v>
      </c>
      <c r="AH10" s="85">
        <f>Proposition!S$24+Proposition!S$28+Proposition!S$31+Proposition!S$43</f>
        <v>4</v>
      </c>
      <c r="AI10" s="85">
        <f>Proposition!S$27+Proposition!S$29+Proposition!S$31+Proposition!S$41</f>
        <v>-5</v>
      </c>
      <c r="AJ10" s="85">
        <f>Proposition!S$24*2+Proposition!S$25+Proposition!S$28+Proposition!S$31+Proposition!S$36</f>
        <v>3</v>
      </c>
      <c r="AK10" s="85">
        <f>Proposition!S$27+Proposition!S$28+Proposition!S$31</f>
        <v>-1</v>
      </c>
      <c r="AL10" s="85">
        <f>Proposition!S$24+Proposition!S$26+Proposition!S$31</f>
        <v>-1</v>
      </c>
      <c r="AM10" s="85"/>
      <c r="AN10" s="85">
        <f>Proposition!S$27+Proposition!S$29+Proposition!S$31</f>
        <v>-4</v>
      </c>
      <c r="AO10" s="85">
        <f>Proposition!S$27+Proposition!S$29+Proposition!S$31</f>
        <v>-4</v>
      </c>
      <c r="AP10" s="85">
        <f>Proposition!S$24+Proposition!S$28+Proposition!S$31</f>
        <v>2</v>
      </c>
      <c r="AQ10" s="85">
        <f>Proposition!S$27+Proposition!S$29+Proposition!S$31+Proposition!S$33+Proposition!S$36</f>
        <v>-8</v>
      </c>
      <c r="AR10" s="85">
        <f>Proposition!S$24+Proposition!S$28+Proposition!S$31</f>
        <v>2</v>
      </c>
      <c r="AS10" s="85">
        <f>Proposition!S$24+Proposition!S$26+Proposition!S$31</f>
        <v>-1</v>
      </c>
      <c r="AT10" s="85">
        <f>Proposition!S$27+Proposition!S$29+Proposition!S$31+Proposition!S$41</f>
        <v>-5</v>
      </c>
      <c r="AU10" s="85">
        <f>Proposition!S$24+Proposition!S$28+Proposition!S$31+Proposition!S$36</f>
        <v>0</v>
      </c>
      <c r="AV10" s="86">
        <f>SUM(AF10-MIN(AF10:AU10),AG10-MIN(AF10:AU10),AH10-MIN(AF10:AU10),AI10-MIN(AF10:AU10),AJ10-MIN(AF10:AU10),AK10-MIN(AF10:AU10),AL10-MIN(AF10:AU10),AN10-MIN(AF10:AU10),AO10-MIN(AF10:AU10),AP10-MIN(AF10:AU10),AQ10-MIN(AF10:AU10),AR10-MIN(AF10:AU10),AS10-MIN(AF10:AU10),AT10-MIN(AF10:AU10),AU10-MIN(AF10:AU10))+((L10*SUM(AF10-MIN(AF10:AU10),AG10-MIN(AF10:AU10),AH10-MIN(AF10:AU10),AI10-MIN(AF10:AU10),AJ10-MIN(AF10:AU10),AK10-MIN(AF10:AU10),AL10-MIN(AF10:AU10),AN10-MIN(AF10:AU10),AO10-MIN(AF10:AU10),AP10-MIN(AF10:AU10),AQ10-MIN(AF10:AU10),AR10-MIN(AF10:AU10),AS10-MIN(AF10:AU10),AT10-MIN(AF10:AU10),AU10-MIN(AF10:AU10)))/(1-L10))</f>
        <v>120.25316455696202</v>
      </c>
    </row>
    <row r="11" spans="1:58" x14ac:dyDescent="0.25">
      <c r="A11" s="130"/>
      <c r="B11" t="s">
        <v>112</v>
      </c>
      <c r="D11" s="66" t="s">
        <v>105</v>
      </c>
      <c r="E11" s="151">
        <v>1204801</v>
      </c>
      <c r="F11" s="115">
        <f t="shared" si="15"/>
        <v>4.2274480238889911E-2</v>
      </c>
      <c r="G11" s="13">
        <f t="shared" ca="1" si="16"/>
        <v>14.250059667560953</v>
      </c>
      <c r="H11" s="20">
        <f>E11+U$4*E$4+U$5*E$5+U$6*E$6+U$7*E$7+U$8*E$8+U$9*E$9+U$10*E$10+U$3*E$3+E$12*U$12+E$13*U$13+E$14*U$14+E$15*U$15+E$16*U$16+E$17*U$17+E$18*U$18</f>
        <v>1799798.1645388009</v>
      </c>
      <c r="I11" s="67">
        <f ca="1">U$21*E$4+U$22*E$5+U$23*E$6+U$24*E$7+U$25*E$8+U$26*E$9+U$27*E$10+U$20*E$3+E$12*U$29+E$13*U$30+E$14*U$31+E$15*U$32+E$16*U$33+E$17*U$34+E$18*U$35+B21*U36+B23*U37</f>
        <v>1686564.8900221763</v>
      </c>
      <c r="J11" s="87">
        <f t="shared" si="17"/>
        <v>1.0000000000000002</v>
      </c>
      <c r="K11" s="96" t="s">
        <v>105</v>
      </c>
      <c r="L11" s="4">
        <v>0.13</v>
      </c>
      <c r="M11" s="79">
        <f t="shared" si="19"/>
        <v>0.12687500000000002</v>
      </c>
      <c r="N11" s="79">
        <f t="shared" si="20"/>
        <v>5.4375000000000007E-2</v>
      </c>
      <c r="O11" s="4">
        <f t="shared" si="34"/>
        <v>7.2500000000000009E-2</v>
      </c>
      <c r="P11" s="4">
        <f t="shared" si="21"/>
        <v>7.2500000000000009E-2</v>
      </c>
      <c r="Q11" s="4">
        <f t="shared" si="22"/>
        <v>0</v>
      </c>
      <c r="R11" s="4">
        <f t="shared" si="23"/>
        <v>3.6250000000000004E-2</v>
      </c>
      <c r="S11" s="4">
        <f t="shared" si="24"/>
        <v>7.2500000000000009E-2</v>
      </c>
      <c r="T11" s="4">
        <f t="shared" si="25"/>
        <v>0</v>
      </c>
      <c r="U11" s="71"/>
      <c r="V11" s="4">
        <f t="shared" si="27"/>
        <v>9.0625000000000011E-2</v>
      </c>
      <c r="W11" s="4">
        <f t="shared" si="28"/>
        <v>3.6250000000000004E-2</v>
      </c>
      <c r="X11" s="4">
        <f t="shared" si="29"/>
        <v>7.2500000000000009E-2</v>
      </c>
      <c r="Y11" s="4">
        <f t="shared" si="30"/>
        <v>3.6250000000000004E-2</v>
      </c>
      <c r="Z11" s="4">
        <f t="shared" si="31"/>
        <v>7.2500000000000009E-2</v>
      </c>
      <c r="AA11" s="4">
        <f t="shared" si="32"/>
        <v>7.2500000000000009E-2</v>
      </c>
      <c r="AB11" s="4">
        <f t="shared" si="33"/>
        <v>5.4375000000000007E-2</v>
      </c>
      <c r="AD11" s="99" t="s">
        <v>105</v>
      </c>
      <c r="AE11" s="85"/>
      <c r="AF11" s="112">
        <f>Proposition!S$27+Proposition!S$28+Proposition!S$31+Proposition!S$39+Proposition!S$43</f>
        <v>1</v>
      </c>
      <c r="AG11" s="112">
        <f>Proposition!S$27+Proposition!S$28+Proposition!S$31+Proposition!S$34+Proposition!S$37</f>
        <v>-3</v>
      </c>
      <c r="AH11" s="85">
        <f>Proposition!S$27+Proposition!S$29+Proposition!S$31+Proposition!S$43</f>
        <v>-2</v>
      </c>
      <c r="AI11" s="85">
        <f>Proposition!S$27+Proposition!S$28+Proposition!S$31+Proposition!S$41</f>
        <v>-2</v>
      </c>
      <c r="AJ11" s="85">
        <f>Proposition!S$27+Proposition!S$29+Proposition!S$31+Proposition!S$35</f>
        <v>-6</v>
      </c>
      <c r="AK11" s="85">
        <f>Proposition!S$27+Proposition!S$29+Proposition!S$31</f>
        <v>-4</v>
      </c>
      <c r="AL11" s="85">
        <f>Proposition!S$26</f>
        <v>-2</v>
      </c>
      <c r="AM11" s="85">
        <f>Proposition!S$27+Proposition!S$29+Proposition!S$31+Proposition!S$35</f>
        <v>-6</v>
      </c>
      <c r="AN11" s="85"/>
      <c r="AO11" s="85">
        <f>Proposition!S$27+Proposition!S$28+Proposition!S$31</f>
        <v>-1</v>
      </c>
      <c r="AP11" s="85">
        <f>Proposition!S$27+Proposition!S$29+Proposition!S$31</f>
        <v>-4</v>
      </c>
      <c r="AQ11" s="85">
        <f>Proposition!S$27+Proposition!S$28+Proposition!S$31+Proposition!S$34</f>
        <v>-2</v>
      </c>
      <c r="AR11" s="85">
        <f>Proposition!S$27+Proposition!S$29+Proposition!S$31</f>
        <v>-4</v>
      </c>
      <c r="AS11" s="85">
        <f>Proposition!S$26</f>
        <v>-2</v>
      </c>
      <c r="AT11" s="85">
        <f>Proposition!S$27+Proposition!S$28+Proposition!S$31+Proposition!S$41</f>
        <v>-2</v>
      </c>
      <c r="AU11" s="85">
        <f>Proposition!S$24+Proposition!S$29+Proposition!S$31+Proposition!S$35</f>
        <v>-3</v>
      </c>
      <c r="AV11" s="86">
        <f>SUM(AF11-MIN(AF11:AU11),AG11-MIN(AF11:AU11),AH11-MIN(AF11:AU11),AI11-MIN(AF11:AU11),AJ11-MIN(AF11:AU11),AK11-MIN(AF11:AU11),AL11-MIN(AF11:AU11),AM11-MIN(AF11:AU11),AO11-MIN(AF11:AU11),AP11-MIN(AF11:AU11),AQ11-MIN(AF11:AU11),AR11-MIN(AF11:AU11),AS11-MIN(AF11:AU11),AT11-MIN(AF11:AU11),AU11-MIN(AF11:AU11))+((L11*SUM(AF11-MIN(AF11:AU11),AG11-MIN(AF11:AU11),AH11-MIN(AF11:AU11),AI11-MIN(AF11:AU11),AJ11-MIN(AF11:AU11),AK11-MIN(AF11:AU11),AL11-MIN(AF11:AU11),AM11-MIN(AF11:AU11),AO11-MIN(AF11:AU11),AP11-MIN(AF11:AU11),AQ11-MIN(AF11:AU11),AR11-MIN(AF11:AU11),AS11-MIN(AF11:AU11),AT11-MIN(AF11:AU11),AU11-MIN(AF11:AU11)))/(1-L11))</f>
        <v>55.172413793103445</v>
      </c>
    </row>
    <row r="12" spans="1:58" x14ac:dyDescent="0.25">
      <c r="A12" s="130"/>
      <c r="B12" t="s">
        <v>113</v>
      </c>
      <c r="D12" s="46" t="s">
        <v>114</v>
      </c>
      <c r="E12" s="151">
        <v>1113551</v>
      </c>
      <c r="F12" s="115">
        <f t="shared" si="15"/>
        <v>3.9072668220308665E-2</v>
      </c>
      <c r="G12" s="13">
        <f t="shared" ca="1" si="16"/>
        <v>15.868183240670385</v>
      </c>
      <c r="H12" s="20">
        <f>E12+V$4*E$4+V$5*E$5+V$6*E$6+V$7*E$7+V$8*E$8+V$9*E$9+V$10*E$10+V$11*E$11+E$3*V$3+E$13*V$13+E$14*V$14+E$15*V$15+E$16*V$16+E$17*V$17+E$18*V$18</f>
        <v>1910631.4446363607</v>
      </c>
      <c r="I12" s="67">
        <f ca="1">V$21*E$4+V$22*E$5+V$23*E$6+V$24*E$7+V$25*E$8+V$26*E$9+V$27*E$10+V$28*E$11+E$3*V$20+E$13*V$30+E$14*V$31+E$15*V$32+E$16*V$33+E$17*V$34+E$18*V$35+B21*V36+B23*V37</f>
        <v>1457159.0425619506</v>
      </c>
      <c r="J12" s="87">
        <f t="shared" si="17"/>
        <v>1</v>
      </c>
      <c r="K12" s="91" t="s">
        <v>114</v>
      </c>
      <c r="L12" s="4">
        <v>0.08</v>
      </c>
      <c r="M12" s="79">
        <f t="shared" si="19"/>
        <v>0.13493333333333332</v>
      </c>
      <c r="N12" s="79">
        <f t="shared" si="20"/>
        <v>0.1104</v>
      </c>
      <c r="O12" s="4">
        <f t="shared" si="34"/>
        <v>6.1333333333333337E-2</v>
      </c>
      <c r="P12" s="4">
        <f t="shared" si="21"/>
        <v>8.5866666666666674E-2</v>
      </c>
      <c r="Q12" s="4">
        <f t="shared" si="22"/>
        <v>0</v>
      </c>
      <c r="R12" s="4">
        <f t="shared" si="23"/>
        <v>4.9066666666666668E-2</v>
      </c>
      <c r="S12" s="4">
        <f t="shared" si="24"/>
        <v>4.9066666666666668E-2</v>
      </c>
      <c r="T12" s="4">
        <f t="shared" si="25"/>
        <v>1.2266666666666667E-2</v>
      </c>
      <c r="U12" s="4">
        <f t="shared" si="26"/>
        <v>7.3599999999999999E-2</v>
      </c>
      <c r="V12" s="71"/>
      <c r="W12" s="4">
        <f t="shared" si="28"/>
        <v>2.4533333333333334E-2</v>
      </c>
      <c r="X12" s="4">
        <f t="shared" si="29"/>
        <v>0.12266666666666667</v>
      </c>
      <c r="Y12" s="4">
        <f t="shared" si="30"/>
        <v>2.4533333333333334E-2</v>
      </c>
      <c r="Z12" s="4">
        <f t="shared" si="31"/>
        <v>6.1333333333333337E-2</v>
      </c>
      <c r="AA12" s="4">
        <f t="shared" si="32"/>
        <v>9.8133333333333336E-2</v>
      </c>
      <c r="AB12" s="4">
        <f t="shared" si="33"/>
        <v>1.2266666666666667E-2</v>
      </c>
      <c r="AD12" s="99" t="s">
        <v>114</v>
      </c>
      <c r="AE12" s="85"/>
      <c r="AF12" s="112">
        <f>Proposition!S$24+Proposition!S$28+Proposition!S$31+Proposition!S$39+Proposition!S$43</f>
        <v>4</v>
      </c>
      <c r="AG12" s="112">
        <f>Proposition!S$24*2+Proposition!S$28+Proposition!S$31+Proposition!S$34+Proposition!S$37</f>
        <v>2</v>
      </c>
      <c r="AH12" s="85">
        <f>Proposition!S$27+Proposition!S$29+Proposition!S$31+Proposition!S$43</f>
        <v>-2</v>
      </c>
      <c r="AI12" s="85">
        <f>Proposition!S$27+Proposition!S$28+Proposition!S$30+Proposition!S$41</f>
        <v>0</v>
      </c>
      <c r="AJ12" s="85">
        <f>Proposition!S$26+Proposition!S$29+Proposition!S$31+Proposition!S$35</f>
        <v>-7</v>
      </c>
      <c r="AK12" s="85">
        <f>Proposition!S$24+Proposition!S$26+Proposition!S$29+Proposition!S$31</f>
        <v>-3</v>
      </c>
      <c r="AL12" s="85">
        <f>Proposition!S$26+Proposition!S$31</f>
        <v>-3</v>
      </c>
      <c r="AM12" s="85">
        <f>Proposition!S$27+Proposition!S$29+Proposition!S$31+Proposition!S$35</f>
        <v>-6</v>
      </c>
      <c r="AN12" s="85">
        <f>Proposition!S$27+Proposition!S$28+Proposition!S$31</f>
        <v>-1</v>
      </c>
      <c r="AO12" s="85"/>
      <c r="AP12" s="85">
        <f>Proposition!S$26+Proposition!S$29+Proposition!S$31</f>
        <v>-5</v>
      </c>
      <c r="AQ12" s="85">
        <f>Proposition!S$24*2+Proposition!S$28+Proposition!S$31+Proposition!S$34</f>
        <v>3</v>
      </c>
      <c r="AR12" s="85">
        <f>Proposition!S$26+Proposition!S$29+Proposition!S$31</f>
        <v>-5</v>
      </c>
      <c r="AS12" s="85">
        <f>Proposition!S$27+Proposition!S$31</f>
        <v>-2</v>
      </c>
      <c r="AT12" s="85">
        <f>Proposition!S$24+Proposition!S$28+Proposition!S$31+Proposition!S$41</f>
        <v>1</v>
      </c>
      <c r="AU12" s="85">
        <f>Proposition!S$27+Proposition!S$29+Proposition!S$31+Proposition!S$35</f>
        <v>-6</v>
      </c>
      <c r="AV12" s="86">
        <f>SUM(AF12-MIN(AF12:AU12),AG12-MIN(AF12:AU12),AH12-MIN(AF12:AU12),AI12-MIN(AF12:AU12),AJ12-MIN(AF12:AU12),AK12-MIN(AF12:AU12),AL12-MIN(AF12:AU12),AM12-MIN(AF12:AU12),AN12-MIN(AF12:AU12),AP12-MIN(AF12:AU12),AQ12-MIN(AF12:AU12),AR12-MIN(AF12:AU12),AS12-MIN(AF12:AU12),AT12-MIN(AF12:AU12),AU12-MIN(AF12:AU12))+((L12*SUM(AF12-MIN(AF12:AU12),AG12-MIN(AF12:AU12),AH12-MIN(AF12:AU12),AI12-MIN(AF12:AU12),AJ12-MIN(AF12:AU12),AK12-MIN(AF12:AU12),AL12-MIN(AF12:AU12),AM12-MIN(AF12:AU12),AN12-MIN(AF12:AU12),AP12-MIN(AF12:AU12),AQ12-MIN(AF12:AU12),AR12-MIN(AF12:AU12),AS12-MIN(AF12:AU12),AT12-MIN(AF12:AU12),AU12-MIN(AF12:AU12)))/(1-L12))</f>
        <v>81.521739130434781</v>
      </c>
    </row>
    <row r="13" spans="1:58" x14ac:dyDescent="0.25">
      <c r="A13" s="130"/>
      <c r="B13" t="s">
        <v>115</v>
      </c>
      <c r="D13" s="45" t="s">
        <v>98</v>
      </c>
      <c r="E13" s="151">
        <v>960548</v>
      </c>
      <c r="F13" s="115">
        <f t="shared" si="15"/>
        <v>3.3704045269306072E-2</v>
      </c>
      <c r="G13" s="13">
        <f t="shared" ca="1" si="16"/>
        <v>14.601985540006059</v>
      </c>
      <c r="H13" s="20">
        <f>E13+W$4*E$4+W$5*E$5+W$6*E$6+W$7*E$7+W$8*E$8+W$9*E$9+W$10*E$10+W$11*E$11+E$12*W$12+E$3*W$3+E$14*W$14+E$15*W$15+E$16*W$16+E$17*W$17+E$18*W$18</f>
        <v>1763318.7993385936</v>
      </c>
      <c r="I13" s="67">
        <f ca="1">W$21*E$4+W$22*E$5+W$23*E$6+W$24*E$7+W$25*E$8+W$26*E$9+W$27*E$10+W$28*E$11+E$12*W$29+E$3*W$20+E$14*W$31+E$15*W$32+E$16*W$33+E$17*W$34+E$18*W$35+B21*W36+B23*W37</f>
        <v>1364041.104020945</v>
      </c>
      <c r="J13" s="87">
        <f t="shared" si="17"/>
        <v>1</v>
      </c>
      <c r="K13" s="93" t="s">
        <v>98</v>
      </c>
      <c r="L13" s="4">
        <v>0.05</v>
      </c>
      <c r="M13" s="79">
        <f t="shared" si="19"/>
        <v>3.7623762376237622E-2</v>
      </c>
      <c r="N13" s="79">
        <f t="shared" si="20"/>
        <v>1.8811881188118811E-2</v>
      </c>
      <c r="O13" s="4">
        <f t="shared" si="34"/>
        <v>0.13168316831683169</v>
      </c>
      <c r="P13" s="4">
        <f t="shared" si="21"/>
        <v>2.8217821782178219E-2</v>
      </c>
      <c r="Q13" s="4">
        <f t="shared" si="22"/>
        <v>0.10346534653465347</v>
      </c>
      <c r="R13" s="4">
        <f t="shared" si="23"/>
        <v>6.5841584158415845E-2</v>
      </c>
      <c r="S13" s="4">
        <f t="shared" si="24"/>
        <v>0.10346534653465347</v>
      </c>
      <c r="T13" s="4">
        <f t="shared" si="25"/>
        <v>8.4653465346534659E-2</v>
      </c>
      <c r="U13" s="4">
        <f t="shared" si="26"/>
        <v>3.7623762376237622E-2</v>
      </c>
      <c r="V13" s="4">
        <f t="shared" si="27"/>
        <v>2.8217821782178219E-2</v>
      </c>
      <c r="W13" s="71"/>
      <c r="X13" s="4">
        <f t="shared" si="29"/>
        <v>0</v>
      </c>
      <c r="Y13" s="4">
        <f t="shared" si="30"/>
        <v>7.5247524752475245E-2</v>
      </c>
      <c r="Z13" s="4">
        <f t="shared" si="31"/>
        <v>8.4653465346534659E-2</v>
      </c>
      <c r="AA13" s="4">
        <f t="shared" si="32"/>
        <v>2.8217821782178219E-2</v>
      </c>
      <c r="AB13" s="4">
        <f t="shared" si="33"/>
        <v>0.12227722772277229</v>
      </c>
      <c r="AD13" s="99" t="s">
        <v>98</v>
      </c>
      <c r="AE13" s="85"/>
      <c r="AF13" s="112">
        <f>Proposition!S$27+Proposition!S$29+Proposition!S$31+Proposition!S$33+Proposition!S$39+Proposition!S$43</f>
        <v>-4</v>
      </c>
      <c r="AG13" s="112">
        <f>Proposition!S$24+Proposition!S$29+Proposition!S$31+Proposition!S$33+Proposition!S$35+Proposition!S$37</f>
        <v>-6</v>
      </c>
      <c r="AH13" s="85">
        <f>Proposition!S$24*2+Proposition!S$28+Proposition!S$31+Proposition!S$43</f>
        <v>6</v>
      </c>
      <c r="AI13" s="85">
        <f>Proposition!S$27+Proposition!S$29+Proposition!S$31+Proposition!S$41</f>
        <v>-5</v>
      </c>
      <c r="AJ13" s="85">
        <f>Proposition!S$24+Proposition!S$28+Proposition!S$30+Proposition!S$34</f>
        <v>3</v>
      </c>
      <c r="AK13" s="85">
        <f>Proposition!S$27+Proposition!S$28+Proposition!S$31</f>
        <v>-1</v>
      </c>
      <c r="AL13" s="85">
        <f>Proposition!S$24*2+Proposition!S$31</f>
        <v>3</v>
      </c>
      <c r="AM13" s="85">
        <f>Proposition!S$24+Proposition!S$28+Proposition!S$31+Proposition!S$34</f>
        <v>1</v>
      </c>
      <c r="AN13" s="85">
        <f>Proposition!S$27+Proposition!S$29+Proposition!S$31</f>
        <v>-4</v>
      </c>
      <c r="AO13" s="85">
        <f>Proposition!S$26+Proposition!S$29+Proposition!S$31</f>
        <v>-5</v>
      </c>
      <c r="AP13" s="85"/>
      <c r="AQ13" s="85">
        <f>Proposition!S$27+Proposition!S$29+Proposition!S$31+Proposition!S$33+Proposition!S$35</f>
        <v>-8</v>
      </c>
      <c r="AR13" s="85">
        <f>Proposition!S$28+Proposition!S$31</f>
        <v>0</v>
      </c>
      <c r="AS13" s="85">
        <f>Proposition!S$24+Proposition!S$31</f>
        <v>1</v>
      </c>
      <c r="AT13" s="85">
        <f>Proposition!S$27+Proposition!S$29+Proposition!S$31+Proposition!S$41</f>
        <v>-5</v>
      </c>
      <c r="AU13" s="85">
        <f>Proposition!S$24*2+Proposition!S$28+Proposition!S$30+Proposition!S$34</f>
        <v>5</v>
      </c>
      <c r="AV13" s="86">
        <f>SUM(AF13-MIN(AF13:AU13),AG13-MIN(AF13:AU13),AH13-MIN(AF13:AU13),AI13-MIN(AF13:AU13),AJ13-MIN(AF13:AU13),AK13-MIN(AF13:AU13),AL13-MIN(AF13:AU13),AM13-MIN(AF13:AU13),AN13-MIN(AF13:AU13),AO13-MIN(AF13:AU13),AQ13-MIN(AF13:AU13),AR13-MIN(AF13:AU13),AS13-MIN(AF13:AU13),AT13-MIN(AF13:AU13),AU13-MIN(AF13:AU13))+((L13*SUM(AF13-MIN(AF13:AU13),AG13-MIN(AF13:AU13),AH13-MIN(AF13:AU13),AI13-MIN(AF13:AU13),AJ13-MIN(AF13:AU13),AK13-MIN(AF13:AU13),AL13-MIN(AF13:AU13),AM13-MIN(AF13:AU13),AN13-MIN(AF13:AU13),AO13-MIN(AF13:AU13),AQ13-MIN(AF13:AU13),AR13-MIN(AF13:AU13),AS13-MIN(AF13:AU13),AT13-MIN(AF13:AU13),AU13-MIN(AF13:AU13)))/(1-L13))</f>
        <v>106.31578947368421</v>
      </c>
    </row>
    <row r="14" spans="1:58" x14ac:dyDescent="0.25">
      <c r="A14" s="130"/>
      <c r="B14" t="s">
        <v>116</v>
      </c>
      <c r="D14" s="47" t="s">
        <v>117</v>
      </c>
      <c r="E14" s="151">
        <v>667043</v>
      </c>
      <c r="F14" s="115">
        <f t="shared" si="15"/>
        <v>2.3405438841758802E-2</v>
      </c>
      <c r="G14" s="13">
        <f t="shared" ca="1" si="16"/>
        <v>6.4550198482688828</v>
      </c>
      <c r="H14" s="20">
        <f>E14+X$4*E$4+X$5*E$5+X$6*E$6+X$7*E$7+X$8*E$8+X$9*E$9+X$10*E$10+X$11*E$11+E$12*X$12+E$13*X$13+E$3*X$3+E$15*X$15+E$16*X$16+E$17*X$17+E$18*X$18</f>
        <v>1187062.0623598159</v>
      </c>
      <c r="I14" s="67">
        <f ca="1">X$21*E$4+X$22*E$5+X$23*E$6+X$24*E$7+X$25*E$8+X$26*E$9+X$27*E$10+X$28*E$11+E$12*X$29+E$13*X$30+E$3*X$20+E$15*X$32+E$16*X$33+E$17*X$34+E$18*X$35+B21*X36+B23*X37</f>
        <v>2437020.3488981742</v>
      </c>
      <c r="J14" s="87">
        <f t="shared" si="17"/>
        <v>1.0000000000000002</v>
      </c>
      <c r="K14" s="92" t="s">
        <v>117</v>
      </c>
      <c r="L14" s="4">
        <v>0.03</v>
      </c>
      <c r="M14" s="79">
        <f t="shared" si="19"/>
        <v>9.2380952380952383E-2</v>
      </c>
      <c r="N14" s="79">
        <f t="shared" si="20"/>
        <v>0.12317460317460319</v>
      </c>
      <c r="O14" s="4">
        <f t="shared" si="34"/>
        <v>4.6190476190476192E-2</v>
      </c>
      <c r="P14" s="4">
        <f t="shared" si="21"/>
        <v>7.6984126984126988E-2</v>
      </c>
      <c r="Q14" s="4">
        <f t="shared" si="22"/>
        <v>0</v>
      </c>
      <c r="R14" s="4">
        <f t="shared" si="23"/>
        <v>1.5396825396825398E-2</v>
      </c>
      <c r="S14" s="4">
        <f t="shared" si="24"/>
        <v>7.6984126984126988E-2</v>
      </c>
      <c r="T14" s="4">
        <f t="shared" si="25"/>
        <v>1.5396825396825398E-2</v>
      </c>
      <c r="U14" s="4">
        <f t="shared" si="26"/>
        <v>6.1587301587301593E-2</v>
      </c>
      <c r="V14" s="4">
        <f t="shared" si="27"/>
        <v>0.16936507936507939</v>
      </c>
      <c r="W14" s="4">
        <f t="shared" si="28"/>
        <v>4.6190476190476192E-2</v>
      </c>
      <c r="X14" s="71"/>
      <c r="Y14" s="4">
        <f t="shared" si="30"/>
        <v>3.0793650793650797E-2</v>
      </c>
      <c r="Z14" s="4">
        <f t="shared" si="31"/>
        <v>7.6984126984126988E-2</v>
      </c>
      <c r="AA14" s="4">
        <f t="shared" si="32"/>
        <v>0.12317460317460319</v>
      </c>
      <c r="AB14" s="4">
        <f t="shared" si="33"/>
        <v>1.5396825396825398E-2</v>
      </c>
      <c r="AD14" s="99" t="s">
        <v>117</v>
      </c>
      <c r="AE14" s="85"/>
      <c r="AF14" s="112">
        <f>Proposition!S$27+Proposition!S$28+Proposition!S$31+Proposition!S$33+Proposition!S$39+Proposition!S$43</f>
        <v>-1</v>
      </c>
      <c r="AG14" s="112">
        <f>Proposition!S$24+Proposition!S$28+Proposition!S$30+Proposition!S$36+Proposition!S$37</f>
        <v>1</v>
      </c>
      <c r="AH14" s="85">
        <f>Proposition!S$27+Proposition!S$29+Proposition!S$31+Proposition!S$33+Proposition!S$43</f>
        <v>-4</v>
      </c>
      <c r="AI14" s="85">
        <f>Proposition!S$27+Proposition!S$28+Proposition!S$31+Proposition!S$41</f>
        <v>-2</v>
      </c>
      <c r="AJ14" s="85">
        <f>Proposition!S$26+Proposition!S$29+Proposition!S$31+Proposition!S$36</f>
        <v>-7</v>
      </c>
      <c r="AK14" s="85">
        <f>Proposition!S$27+Proposition!S$29+Proposition!S$31+Proposition!S$33</f>
        <v>-6</v>
      </c>
      <c r="AL14" s="85">
        <f>Proposition!S$27+Proposition!S$31</f>
        <v>-2</v>
      </c>
      <c r="AM14" s="85">
        <f>Proposition!S$27+Proposition!S$29+Proposition!S$31+Proposition!S$36</f>
        <v>-6</v>
      </c>
      <c r="AN14" s="85">
        <f>Proposition!S$27+Proposition!S$28+Proposition!S$31+Proposition!S$33</f>
        <v>-3</v>
      </c>
      <c r="AO14" s="85">
        <f>Proposition!S$24*2+Proposition!S$28+Proposition!S$31</f>
        <v>4</v>
      </c>
      <c r="AP14" s="85">
        <f>Proposition!S$27+Proposition!S$29+Proposition!S$31</f>
        <v>-4</v>
      </c>
      <c r="AQ14" s="85"/>
      <c r="AR14" s="85">
        <f>Proposition!S$26+Proposition!S$29+Proposition!S$31</f>
        <v>-5</v>
      </c>
      <c r="AS14" s="85">
        <f>Proposition!S$27+Proposition!S$31</f>
        <v>-2</v>
      </c>
      <c r="AT14" s="85">
        <f>Proposition!S$24+Proposition!S$28+Proposition!S$31+Proposition!S$41</f>
        <v>1</v>
      </c>
      <c r="AU14" s="85">
        <f>Proposition!S$27+Proposition!S$29+Proposition!S$31+Proposition!S$36</f>
        <v>-6</v>
      </c>
      <c r="AV14" s="86">
        <f>SUM(AF14-MIN(AF14:AU14),AG14-MIN(AF14:AU14),AH14-MIN(AF14:AU14),AI14-MIN(AF14:AU14),AJ14-MIN(AF14:AU14),AK14-MIN(AF14:AU14),AL14-MIN(AF14:AU14),AM14-MIN(AF14:AU14),AN14-MIN(AF14:AU14),AO14-MIN(AF14:AU14),AP14-MIN(AF14:AU14),AR14-MIN(AF14:AU14),AS14-MIN(AF14:AU14),AT14-MIN(AF14:AU14),AU14-MIN(AF14:AU14))+((L14*SUM(AF14-MIN(AF14:AU14),AG14-MIN(AF14:AU14),AH14-MIN(AF14:AU14),AI14-MIN(AF14:AU14),AJ14-MIN(AF14:AU14),AK14-MIN(AF14:AU14),AL14-MIN(AF14:AU14),AM14-MIN(AF14:AU14),AN14-MIN(AF14:AU14),AO14-MIN(AF14:AU14),AP14-MIN(AF14:AU14),AR14-MIN(AF14:AU14),AS14-MIN(AF14:AU14),AT14-MIN(AF14:AU14),AU14-MIN(AF14:AU14)))/(1-L14))</f>
        <v>64.948453608247419</v>
      </c>
    </row>
    <row r="15" spans="1:58" x14ac:dyDescent="0.25">
      <c r="A15" s="130"/>
      <c r="B15" t="s">
        <v>118</v>
      </c>
      <c r="D15" s="45" t="s">
        <v>119</v>
      </c>
      <c r="E15" s="151">
        <v>660515</v>
      </c>
      <c r="F15" s="115">
        <f t="shared" si="15"/>
        <v>2.3176382087158269E-2</v>
      </c>
      <c r="G15" s="13">
        <f t="shared" ca="1" si="16"/>
        <v>10.911001791108749</v>
      </c>
      <c r="H15" s="20">
        <f>E15+Y$4*E$4+Y$5*E$5+Y$6*E$6+Y$7*E$7+Y$8*E$8+Y$9*E$9+Y$10*E$10+Y$11*E$11+E$12*Y$12+E$13*Y$13+E$14*Y$14+E$3*Y$3+E$16*Y$16+E$17*Y$17+E$18*Y$18</f>
        <v>1444390.8070321511</v>
      </c>
      <c r="I15" s="67">
        <f ca="1">Y$21*E$4+Y$22*E$5+Y$23*E$6+Y$24*E$7+Y$25*E$8+Y$26*E$9+Y$27*E$10+Y$28*E$11+E$12*Y$29+E$13*Y$30+E$14*Y$31+E$3*Y$20+E$16*Y$33+E$17*Y$34+E$18*Y$35+B21*Y36+B23*Y37</f>
        <v>1589807.8256457436</v>
      </c>
      <c r="J15" s="87">
        <f t="shared" si="17"/>
        <v>1.0000000000000002</v>
      </c>
      <c r="K15" s="93" t="s">
        <v>119</v>
      </c>
      <c r="L15" s="4">
        <v>0.02</v>
      </c>
      <c r="M15" s="79">
        <f t="shared" si="19"/>
        <v>5.7647058823529412E-2</v>
      </c>
      <c r="N15" s="79">
        <f t="shared" si="20"/>
        <v>1.1529411764705882E-2</v>
      </c>
      <c r="O15" s="4">
        <f t="shared" si="34"/>
        <v>0.14988235294117647</v>
      </c>
      <c r="P15" s="4">
        <f t="shared" si="21"/>
        <v>2.3058823529411764E-2</v>
      </c>
      <c r="Q15" s="4">
        <f t="shared" si="22"/>
        <v>9.2235294117647054E-2</v>
      </c>
      <c r="R15" s="4">
        <f t="shared" si="23"/>
        <v>6.9176470588235298E-2</v>
      </c>
      <c r="S15" s="4">
        <f t="shared" si="24"/>
        <v>0.11529411764705882</v>
      </c>
      <c r="T15" s="4">
        <f t="shared" si="25"/>
        <v>9.2235294117647054E-2</v>
      </c>
      <c r="U15" s="4">
        <f t="shared" si="26"/>
        <v>3.4588235294117649E-2</v>
      </c>
      <c r="V15" s="4">
        <f t="shared" si="27"/>
        <v>2.3058823529411764E-2</v>
      </c>
      <c r="W15" s="4">
        <f t="shared" si="28"/>
        <v>0.10376470588235294</v>
      </c>
      <c r="X15" s="4">
        <f t="shared" si="29"/>
        <v>0</v>
      </c>
      <c r="Y15" s="71"/>
      <c r="Z15" s="4">
        <f t="shared" si="31"/>
        <v>9.2235294117647054E-2</v>
      </c>
      <c r="AA15" s="4">
        <f t="shared" si="32"/>
        <v>2.3058823529411764E-2</v>
      </c>
      <c r="AB15" s="4">
        <f t="shared" si="33"/>
        <v>9.2235294117647054E-2</v>
      </c>
      <c r="AD15" s="99" t="s">
        <v>119</v>
      </c>
      <c r="AE15" s="85"/>
      <c r="AF15" s="112">
        <f>Proposition!S$27+Proposition!S$29+Proposition!S$31+Proposition!S$39+Proposition!S$43</f>
        <v>-2</v>
      </c>
      <c r="AG15" s="112">
        <f>Proposition!S$24+Proposition!S$26+Proposition!S$29+Proposition!S$31+Proposition!S$35+Proposition!S$37</f>
        <v>-6</v>
      </c>
      <c r="AH15" s="85">
        <f>Proposition!S$24*2+Proposition!S$28+Proposition!S$31+Proposition!S$43</f>
        <v>6</v>
      </c>
      <c r="AI15" s="85">
        <f>Proposition!S$27+Proposition!S$29+Proposition!S$31+Proposition!S$41</f>
        <v>-5</v>
      </c>
      <c r="AJ15" s="85">
        <f>Proposition!S$24+Proposition!S$28+Proposition!S$31+Proposition!S$34</f>
        <v>1</v>
      </c>
      <c r="AK15" s="85">
        <f>Proposition!S$27+Proposition!S$28+Proposition!S$31</f>
        <v>-1</v>
      </c>
      <c r="AL15" s="85">
        <f>Proposition!S$24*2+Proposition!S$31</f>
        <v>3</v>
      </c>
      <c r="AM15" s="85">
        <f>Proposition!S$24+Proposition!S$28+Proposition!S$31+Proposition!S$34</f>
        <v>1</v>
      </c>
      <c r="AN15" s="85">
        <f>Proposition!S$27+Proposition!S$29+Proposition!S$31</f>
        <v>-4</v>
      </c>
      <c r="AO15" s="85">
        <f>Proposition!S$26+Proposition!S$29+Proposition!S$31</f>
        <v>-5</v>
      </c>
      <c r="AP15" s="85">
        <f>Proposition!S$24+Proposition!S$28+Proposition!S$31</f>
        <v>2</v>
      </c>
      <c r="AQ15" s="85">
        <f>Proposition!S$26+Proposition!S$29+Proposition!S$31+Proposition!S$35</f>
        <v>-7</v>
      </c>
      <c r="AR15" s="85"/>
      <c r="AS15" s="85">
        <f>Proposition!S$24+Proposition!S$31</f>
        <v>1</v>
      </c>
      <c r="AT15" s="85">
        <f>Proposition!S$27+Proposition!S$29+Proposition!S$31+Proposition!S$41</f>
        <v>-5</v>
      </c>
      <c r="AU15" s="85">
        <f>Proposition!S$24+Proposition!S$28+Proposition!S$31+Proposition!S$34</f>
        <v>1</v>
      </c>
      <c r="AV15" s="86">
        <f>SUM(AF15-MIN(AF15:AU15),AG15-MIN(AF15:AU15),AH15-MIN(AF15:AU15),AI15-MIN(AF15:AU15),AJ15-MIN(AF15:AU15),AK15-MIN(AF15:AU15),AL15-MIN(AF15:AU15),AM15-MIN(AF15:AU15),AN15-MIN(AF15:AU15),AO15-MIN(AF15:AU15),AP15-MIN(AF15:AU15),AQ15-MIN(AF15:AU15),AS15-MIN(AF15:AU15),AT15-MIN(AF15:AU15),AU15-MIN(AF15:AU15))+((L15*SUM(AF15-MIN(AF15:AU15),AG15-MIN(AF15:AU15),AH15-MIN(AF15:AU15),AI15-MIN(AF15:AU15),AJ15-MIN(AF15:AU15),AK15-MIN(AF15:AU15),AL15-MIN(AF15:AU15),AM15-MIN(AF15:AU15),AN15-MIN(AF15:AU15),AO15-MIN(AF15:AU15),AP15-MIN(AF15:AU15),AQ15-MIN(AF15:AU15),AS15-MIN(AF15:AU15),AT15-MIN(AF15:AU15),AU15-MIN(AF15:AU15)))/(1-L15))</f>
        <v>86.734693877551024</v>
      </c>
    </row>
    <row r="16" spans="1:58" x14ac:dyDescent="0.25">
      <c r="A16" s="130"/>
      <c r="B16" t="s">
        <v>120</v>
      </c>
      <c r="D16" s="64" t="s">
        <v>121</v>
      </c>
      <c r="E16" s="151">
        <v>535875</v>
      </c>
      <c r="F16" s="115">
        <f t="shared" si="15"/>
        <v>1.880297003240795E-2</v>
      </c>
      <c r="G16" s="13">
        <f t="shared" ca="1" si="16"/>
        <v>12.814824120300466</v>
      </c>
      <c r="H16" s="20">
        <f>E16+Z$4*E$4+Z$5*E$5+Z$6*E$6+Z$7*E$7+Z$8*E$8+Z$9*E$9+Z$10*E$10+Z$11*E$11+E$12*Z$12+E$13*Z$13+E$14*Z$14+E$15*Z$15+E$3*Z$3+E$17*Z$17+E$18*Z$18</f>
        <v>1564596.884766076</v>
      </c>
      <c r="I16" s="67">
        <f ca="1">Z$21*E$4+Z$22*E$5+Z$23*E$6+Z$24*E$7+Z$25*E$8+Z$26*E$9+Z$27*E$10+Z$28*E$11+E$12*Z$29+E$13*Z$30+E$14*Z$31+E$15*Z$32+E$3*Z$20+E$17*Z$34+E$18*Z$35+B21*Z36+B23*Z37</f>
        <v>1274015.1273121324</v>
      </c>
      <c r="J16" s="87">
        <f t="shared" si="17"/>
        <v>0.99999999999999989</v>
      </c>
      <c r="K16" s="94" t="s">
        <v>121</v>
      </c>
      <c r="L16" s="4">
        <v>0.01</v>
      </c>
      <c r="M16" s="79">
        <f t="shared" si="19"/>
        <v>7.9200000000000007E-2</v>
      </c>
      <c r="N16" s="79">
        <f t="shared" si="20"/>
        <v>3.9600000000000003E-2</v>
      </c>
      <c r="O16" s="4">
        <f t="shared" si="34"/>
        <v>0.1386</v>
      </c>
      <c r="P16" s="4">
        <f t="shared" si="21"/>
        <v>1.9800000000000002E-2</v>
      </c>
      <c r="Q16" s="4">
        <f t="shared" si="22"/>
        <v>5.9400000000000001E-2</v>
      </c>
      <c r="R16" s="4">
        <f t="shared" si="23"/>
        <v>9.9000000000000005E-2</v>
      </c>
      <c r="S16" s="4">
        <f t="shared" si="24"/>
        <v>0.21779999999999999</v>
      </c>
      <c r="T16" s="4">
        <f t="shared" si="25"/>
        <v>1.9800000000000002E-2</v>
      </c>
      <c r="U16" s="4">
        <f t="shared" si="26"/>
        <v>3.9600000000000003E-2</v>
      </c>
      <c r="V16" s="4">
        <f t="shared" si="27"/>
        <v>3.9600000000000003E-2</v>
      </c>
      <c r="W16" s="4">
        <f t="shared" si="28"/>
        <v>9.9000000000000005E-2</v>
      </c>
      <c r="X16" s="4">
        <f t="shared" si="29"/>
        <v>3.9600000000000003E-2</v>
      </c>
      <c r="Y16" s="4">
        <f t="shared" si="30"/>
        <v>9.9000000000000005E-2</v>
      </c>
      <c r="Z16" s="71"/>
      <c r="AA16" s="4">
        <f t="shared" si="32"/>
        <v>0</v>
      </c>
      <c r="AB16" s="4">
        <f t="shared" si="33"/>
        <v>0</v>
      </c>
      <c r="AD16" s="99" t="s">
        <v>121</v>
      </c>
      <c r="AE16" s="85"/>
      <c r="AF16" s="112">
        <f>Proposition!S$27+Proposition!S$31+Proposition!S$39+Proposition!S$43</f>
        <v>0</v>
      </c>
      <c r="AG16" s="112">
        <f>Proposition!S$24+Proposition!S$26+Proposition!S$31+Proposition!S$37</f>
        <v>-2</v>
      </c>
      <c r="AH16" s="85">
        <f>Proposition!S$24+Proposition!S$31+Proposition!S$43</f>
        <v>3</v>
      </c>
      <c r="AI16" s="85">
        <f>Proposition!S$27+Proposition!S$31+Proposition!S$41</f>
        <v>-3</v>
      </c>
      <c r="AJ16" s="85">
        <f>Proposition!S$24+Proposition!S$31+Proposition!S$35</f>
        <v>-1</v>
      </c>
      <c r="AK16" s="85">
        <f>Proposition!S$24+Proposition!S$31</f>
        <v>1</v>
      </c>
      <c r="AL16" s="85">
        <f>Proposition!S$24*3+Proposition!S$28</f>
        <v>7</v>
      </c>
      <c r="AM16" s="85">
        <f>Proposition!S$24+Proposition!S$26+Proposition!S$31+Proposition!S$35</f>
        <v>-3</v>
      </c>
      <c r="AN16" s="85">
        <f>Proposition!S$26</f>
        <v>-2</v>
      </c>
      <c r="AO16" s="85">
        <f>Proposition!S$27+Proposition!S$31</f>
        <v>-2</v>
      </c>
      <c r="AP16" s="85">
        <f>Proposition!S$24+Proposition!S$31</f>
        <v>1</v>
      </c>
      <c r="AQ16" s="85">
        <f>Proposition!S$27+Proposition!S$31</f>
        <v>-2</v>
      </c>
      <c r="AR16" s="85">
        <f>Proposition!S$24+Proposition!S$31</f>
        <v>1</v>
      </c>
      <c r="AS16" s="85"/>
      <c r="AT16" s="85">
        <f>Proposition!S$26+Proposition!S$31+Proposition!S$41</f>
        <v>-4</v>
      </c>
      <c r="AU16" s="85">
        <f>Proposition!S$27+Proposition!S$31+Proposition!S$35</f>
        <v>-4</v>
      </c>
      <c r="AV16" s="86">
        <f>SUM(AF16-MIN(AF16:AU16),AG16-MIN(AF16:AU16),AH16-MIN(AF16:AU16),AI16-MIN(AF16:AU16),AJ16-MIN(AF16:AU16),AK16-MIN(AF16:AU16),AL16-MIN(AF16:AU16),AM16-MIN(AF16:AU16),AN16-MIN(AF16:AU16),AO16-MIN(AF16:AU16),AP16-MIN(AF16:AU16),AQ16-MIN(AF16:AU16),AR16-MIN(AF16:AU16),AT16-MIN(AF16:AU16),AU16-MIN(AF16:AU16))+((L16*SUM(AF16-MIN(AF16:AU16),AG16-MIN(AF16:AU16),AH16-MIN(AF16:AU16),AI16-MIN(AF16:AU16),AJ16-MIN(AF16:AU16),AK16-MIN(AF16:AU16),AL16-MIN(AF16:AU16),AM16-MIN(AF16:AU16),AN16-MIN(AF16:AU16),AO16-MIN(AF16:AU16),AP16-MIN(AF16:AU16),AQ16-MIN(AF16:AU16),AR16-MIN(AF16:AU16),AT16-MIN(AF16:AU16),AU16-MIN(AF16:AU16)))/(1-L16))</f>
        <v>50.505050505050505</v>
      </c>
    </row>
    <row r="17" spans="1:48" x14ac:dyDescent="0.25">
      <c r="A17" s="130"/>
      <c r="B17" t="s">
        <v>122</v>
      </c>
      <c r="D17" s="66" t="s">
        <v>123</v>
      </c>
      <c r="E17" s="151">
        <v>339157</v>
      </c>
      <c r="F17" s="115">
        <f t="shared" si="15"/>
        <v>1.1900459822311889E-2</v>
      </c>
      <c r="G17" s="13">
        <f t="shared" ca="1" si="16"/>
        <v>5.8245410532217976</v>
      </c>
      <c r="H17" s="20">
        <f>E17+AA$4*E$4+AA$5*E$5+AA$6*E$6+AA$7*E$7+AA$8*E$8+AA$9*E$9+AA$10*E$10+AA$11*E$11+E$12*AA$12+E$13*AA$13+E$14*AA$14+E$15*AA$15+E$16*AA$16+E$3*AA$3+E$18*AA$18</f>
        <v>1024473.3479145064</v>
      </c>
      <c r="I17" s="67">
        <f ca="1">AA$21*E$4+AA$22*E$5+AA$23*E$6+AA$24*E$7+AA$25*E$8+AA$26*E$9+AA$27*E$10+AA$28*E$11+E$12*AA$29+E$13*AA$30+E$14*AA$31+E$15*AA$32+E$16*AA$33+E$3*AA$20+E$18*AA$35+B21*AA36+B23*AA37</f>
        <v>1989086.5916654703</v>
      </c>
      <c r="J17" s="87">
        <f t="shared" si="17"/>
        <v>1</v>
      </c>
      <c r="K17" s="96" t="s">
        <v>123</v>
      </c>
      <c r="L17" s="4">
        <v>0.01</v>
      </c>
      <c r="M17" s="79">
        <f t="shared" si="19"/>
        <v>0.18857142857142858</v>
      </c>
      <c r="N17" s="79">
        <f t="shared" si="20"/>
        <v>9.4285714285714292E-2</v>
      </c>
      <c r="O17" s="4">
        <f t="shared" si="34"/>
        <v>3.1428571428571431E-2</v>
      </c>
      <c r="P17" s="4">
        <f t="shared" si="21"/>
        <v>6.2857142857142861E-2</v>
      </c>
      <c r="Q17" s="4">
        <f t="shared" si="22"/>
        <v>0</v>
      </c>
      <c r="R17" s="4">
        <f t="shared" si="23"/>
        <v>7.857142857142857E-2</v>
      </c>
      <c r="S17" s="4">
        <f t="shared" si="24"/>
        <v>4.7142857142857146E-2</v>
      </c>
      <c r="T17" s="4">
        <f t="shared" si="25"/>
        <v>0</v>
      </c>
      <c r="U17" s="4">
        <f t="shared" si="26"/>
        <v>7.857142857142857E-2</v>
      </c>
      <c r="V17" s="4">
        <f t="shared" si="27"/>
        <v>0.12571428571428572</v>
      </c>
      <c r="W17" s="4">
        <f t="shared" si="28"/>
        <v>3.1428571428571431E-2</v>
      </c>
      <c r="X17" s="4">
        <f t="shared" si="29"/>
        <v>0.11</v>
      </c>
      <c r="Y17" s="4">
        <f t="shared" si="30"/>
        <v>4.7142857142857146E-2</v>
      </c>
      <c r="Z17" s="4">
        <f t="shared" si="31"/>
        <v>4.7142857142857146E-2</v>
      </c>
      <c r="AA17" s="71"/>
      <c r="AB17" s="4">
        <f t="shared" si="33"/>
        <v>4.7142857142857146E-2</v>
      </c>
      <c r="AD17" s="99" t="s">
        <v>123</v>
      </c>
      <c r="AE17" s="85"/>
      <c r="AF17" s="112">
        <f>Proposition!S$24+Proposition!S$28+Proposition!S$30+Proposition!S$39+Proposition!S$43</f>
        <v>6</v>
      </c>
      <c r="AG17" s="112">
        <f>Proposition!S$24+Proposition!S$28+Proposition!S$31+Proposition!S$34+Proposition!S$37</f>
        <v>0</v>
      </c>
      <c r="AH17" s="85">
        <f>Proposition!S$27+Proposition!S$29+Proposition!S$31+Proposition!S$33+Proposition!S$43</f>
        <v>-4</v>
      </c>
      <c r="AI17" s="85">
        <f>Proposition!S$27+Proposition!S$28+Proposition!S$31+Proposition!S$41</f>
        <v>-2</v>
      </c>
      <c r="AJ17" s="85">
        <f>Proposition!S$27+Proposition!S$29+Proposition!S$31+Proposition!S$35</f>
        <v>-6</v>
      </c>
      <c r="AK17" s="85">
        <f>Proposition!S$24+Proposition!S$29+Proposition!S$31</f>
        <v>-1</v>
      </c>
      <c r="AL17" s="85">
        <f>Proposition!S$24+Proposition!S$26*2+Proposition!S$31</f>
        <v>-3</v>
      </c>
      <c r="AM17" s="85">
        <f>Proposition!S$27+Proposition!S$29+Proposition!S$31+Proposition!S$35</f>
        <v>-6</v>
      </c>
      <c r="AN17" s="85">
        <f>Proposition!S$27+Proposition!S$28+Proposition!S$31</f>
        <v>-1</v>
      </c>
      <c r="AO17" s="85">
        <f>Proposition!S$24+Proposition!S$28+Proposition!S$31</f>
        <v>2</v>
      </c>
      <c r="AP17" s="85">
        <f>Proposition!S$27+Proposition!S$29+Proposition!S$31</f>
        <v>-4</v>
      </c>
      <c r="AQ17" s="85">
        <f>Proposition!S$24+Proposition!S$28+Proposition!S$31+Proposition!S$34</f>
        <v>1</v>
      </c>
      <c r="AR17" s="85">
        <f>Proposition!S$27+Proposition!S$29</f>
        <v>-3</v>
      </c>
      <c r="AS17" s="85">
        <f>Proposition!S$26+Proposition!S$31</f>
        <v>-3</v>
      </c>
      <c r="AT17" s="85"/>
      <c r="AU17" s="85">
        <f>Proposition!S$24+Proposition!S$29+Proposition!S$31+Proposition!S$35</f>
        <v>-3</v>
      </c>
      <c r="AV17" s="86">
        <f>SUM(AF17-MIN(AF17:AU17),AG17-MIN(AF17:AU17),AH17-MIN(AF17:AU17),AI17-MIN(AF17:AU17),AJ17-MIN(AF17:AU17),AK17-MIN(AF17:AU17),AL17-MIN(AF17:AU17),AM17-MIN(AF17:AU17),AN17-MIN(AF17:AU17),AO17-MIN(AF17:AU17),AP17-MIN(AF17:AU17),AQ17-MIN(AF17:AU17),AR17-MIN(AF17:AU17),AS17-MIN(AF17:AU17),AU17-MIN(AF17:AU17))+((L17*SUM(AF17-MIN(AF17:AU17),AG17-MIN(AF17:AU17),AH17-MIN(AF17:AU17),AI17-MIN(AF17:AU17),AJ17-MIN(AF17:AU17),AK17-MIN(AF17:AU17),AL17-MIN(AF17:AU17),AM17-MIN(AF17:AU17),AN17-MIN(AF17:AU17),AO17-MIN(AF17:AU17),AP17-MIN(AF17:AU17),AQ17-MIN(AF17:AU17),AR17-MIN(AF17:AU17),AS17-MIN(AF17:AU17),AU17-MIN(AF17:AU17)))/(1-L17))</f>
        <v>63.636363636363633</v>
      </c>
    </row>
    <row r="18" spans="1:48" ht="15.75" thickBot="1" x14ac:dyDescent="0.3">
      <c r="A18" s="130"/>
      <c r="B18" t="s">
        <v>124</v>
      </c>
      <c r="D18" s="45" t="s">
        <v>107</v>
      </c>
      <c r="E18" s="151">
        <v>132696</v>
      </c>
      <c r="F18" s="115">
        <f t="shared" si="15"/>
        <v>4.6560838095085714E-3</v>
      </c>
      <c r="G18" s="14">
        <f t="shared" ca="1" si="16"/>
        <v>2.8651989196595204</v>
      </c>
      <c r="H18" s="20">
        <f>E18+AB$4*E$4+AB$5*E$5+AB$6*E$6+AB$7*E$7+AB$8*E$8+AB$9*E$9+AB$10*E$10+AB$11*E$11+E$12*AB$12+E$13*AB$13+E$14*AB$14+E$15*AB$15+E$16*AB$16+E$17*AB$17+E$3*AB$3</f>
        <v>781922.92324493616</v>
      </c>
      <c r="I18" s="67">
        <f ca="1">AB$21*E$4+AB$22*E$5+AB$23*E$6+AB$24*E$7+AB$25*E$8+AB$26*E$9+AB$27*E$10+AB$28*E$11+E$12*AB$29+E$13*AB$30+E$14*AB$31+E$15*AB$32+E$16*AB$33+E$17*AB$34+E$3*AB$20+B21*AB36+B23*AB37</f>
        <v>2229313.6407554285</v>
      </c>
      <c r="J18" s="87">
        <f t="shared" si="17"/>
        <v>0.99999999999999978</v>
      </c>
      <c r="K18" s="93" t="s">
        <v>107</v>
      </c>
      <c r="L18" s="4">
        <v>5.0000000000000001E-3</v>
      </c>
      <c r="M18" s="79">
        <f t="shared" si="19"/>
        <v>2.4874999999999998E-2</v>
      </c>
      <c r="N18" s="79">
        <f t="shared" si="20"/>
        <v>2.4874999999999998E-2</v>
      </c>
      <c r="O18" s="4">
        <f t="shared" si="34"/>
        <v>9.9499999999999991E-2</v>
      </c>
      <c r="P18" s="4">
        <f t="shared" si="21"/>
        <v>1.2437499999999999E-2</v>
      </c>
      <c r="Q18" s="4">
        <f t="shared" si="22"/>
        <v>9.9499999999999991E-2</v>
      </c>
      <c r="R18" s="4">
        <f t="shared" si="23"/>
        <v>9.9499999999999991E-2</v>
      </c>
      <c r="S18" s="4">
        <f t="shared" si="24"/>
        <v>8.7062499999999987E-2</v>
      </c>
      <c r="T18" s="4">
        <f t="shared" si="25"/>
        <v>7.4624999999999997E-2</v>
      </c>
      <c r="U18" s="4">
        <f t="shared" si="26"/>
        <v>6.2187499999999993E-2</v>
      </c>
      <c r="V18" s="4">
        <f t="shared" si="27"/>
        <v>2.4874999999999998E-2</v>
      </c>
      <c r="W18" s="4">
        <f t="shared" si="28"/>
        <v>0.14924999999999999</v>
      </c>
      <c r="X18" s="4">
        <f t="shared" si="29"/>
        <v>0</v>
      </c>
      <c r="Y18" s="4">
        <f t="shared" si="30"/>
        <v>9.9499999999999991E-2</v>
      </c>
      <c r="Z18" s="4">
        <f t="shared" si="31"/>
        <v>8.7062499999999987E-2</v>
      </c>
      <c r="AA18" s="4">
        <f t="shared" si="32"/>
        <v>4.9749999999999996E-2</v>
      </c>
      <c r="AB18" s="71"/>
      <c r="AD18" s="99" t="s">
        <v>107</v>
      </c>
      <c r="AE18" s="85"/>
      <c r="AF18" s="112">
        <f>Proposition!S$27+Proposition!S$29+Proposition!S$31+Proposition!S$33+Proposition!S$39+Proposition!S$43</f>
        <v>-4</v>
      </c>
      <c r="AG18" s="112">
        <f>Proposition!S$24+Proposition!S$29+Proposition!S$31+Proposition!S$36+Proposition!S$37</f>
        <v>-4</v>
      </c>
      <c r="AH18" s="85">
        <f>Proposition!S$24+Proposition!S$28+Proposition!S$31+Proposition!S$33+Proposition!S$43</f>
        <v>2</v>
      </c>
      <c r="AI18" s="85">
        <f>Proposition!S$27+Proposition!S$29+Proposition!S$31+Proposition!S$41</f>
        <v>-5</v>
      </c>
      <c r="AJ18" s="85">
        <f>Proposition!S$24+Proposition!S$28+Proposition!S$30+Proposition!S$36</f>
        <v>2</v>
      </c>
      <c r="AK18" s="85">
        <f>Proposition!S$24+Proposition!S$28+Proposition!S$31</f>
        <v>2</v>
      </c>
      <c r="AL18" s="85">
        <f>Proposition!S$24+Proposition!S$31</f>
        <v>1</v>
      </c>
      <c r="AM18" s="85">
        <f>Proposition!S$24+Proposition!S$28+Proposition!S$31+Proposition!S$36</f>
        <v>0</v>
      </c>
      <c r="AN18" s="85">
        <f>Proposition!S$24+Proposition!S$29+Proposition!S$31</f>
        <v>-1</v>
      </c>
      <c r="AO18" s="85">
        <f>Proposition!S$27+Proposition!S$29+Proposition!S$31</f>
        <v>-4</v>
      </c>
      <c r="AP18" s="85">
        <f>Proposition!S$24*2+Proposition!S$28+Proposition!S$30</f>
        <v>6</v>
      </c>
      <c r="AQ18" s="85">
        <f>Proposition!S$27+Proposition!S$29+Proposition!S$31+Proposition!S$36</f>
        <v>-6</v>
      </c>
      <c r="AR18" s="85">
        <f>Proposition!S$24+Proposition!S$28+Proposition!S$31</f>
        <v>2</v>
      </c>
      <c r="AS18" s="85">
        <f>Proposition!S$24+Proposition!S$31</f>
        <v>1</v>
      </c>
      <c r="AT18" s="85">
        <f>Proposition!S$24+Proposition!S$29+Proposition!S$31+Proposition!S$41</f>
        <v>-2</v>
      </c>
      <c r="AU18" s="85"/>
      <c r="AV18" s="86">
        <f>SUM(AF18-MIN(AF18:AU18),AG18-MIN(AF18:AU18),AH18-MIN(AF18:AU18),AI18-MIN(AF18:AU18),AJ18-MIN(AF18:AU18),AK18-MIN(AF18:AU18),AL18-MIN(AF18:AU18),AM18-MIN(AF18:AU18),AN18-MIN(AF18:AU18),AO18-MIN(AF18:AU18),AP18-MIN(AF18:AU18),AQ18-MIN(AF18:AU18),AR18-MIN(AF18:AU18),AS18-MIN(AF18:AU18),AT18-MIN(AF18:AU18))+((L18*SUM(AF18-MIN(AF18:AU18),AG18-MIN(AF18:AU18),AH18-MIN(AF18:AU18),AI18-MIN(AF18:AU18),AJ18-MIN(AF18:AU18),AK18-MIN(AF18:AU18),AL18-MIN(AF18:AU18),AM18-MIN(AF18:AU18),AN18-MIN(AF18:AU18),AO18-MIN(AF18:AU18),AP18-MIN(AF18:AU18),AQ18-MIN(AF18:AU18),AR18-MIN(AF18:AU18),AS18-MIN(AF18:AU18),AT18-MIN(AF18:AU18)))/(1-L18))</f>
        <v>80.402010050251263</v>
      </c>
    </row>
    <row r="19" spans="1:48" x14ac:dyDescent="0.25">
      <c r="J19" s="87"/>
      <c r="K19" s="89"/>
      <c r="L19" s="100"/>
      <c r="M19" s="101"/>
      <c r="N19" s="102"/>
      <c r="O19" s="103"/>
      <c r="P19" s="101"/>
      <c r="Q19" s="103"/>
      <c r="R19" s="103"/>
      <c r="S19" s="104"/>
      <c r="T19" s="105"/>
      <c r="U19" s="106"/>
      <c r="V19" s="101"/>
      <c r="W19" s="103"/>
      <c r="X19" s="102"/>
      <c r="Y19" s="103"/>
      <c r="Z19" s="104"/>
      <c r="AA19" s="106"/>
      <c r="AB19" s="103"/>
      <c r="AD19" s="99"/>
      <c r="AE19" s="99"/>
      <c r="AF19" s="99"/>
      <c r="AG19" s="99"/>
      <c r="AH19" s="99"/>
      <c r="AI19" s="99"/>
      <c r="AJ19" s="99"/>
      <c r="AK19" s="99"/>
      <c r="AL19" s="99"/>
      <c r="AM19" s="99"/>
      <c r="AN19" s="99"/>
      <c r="AO19" s="99"/>
      <c r="AP19" s="99"/>
      <c r="AQ19" s="99"/>
      <c r="AR19" s="99"/>
      <c r="AS19" s="99"/>
      <c r="AT19" s="99"/>
      <c r="AU19" s="99"/>
      <c r="AV19" s="86"/>
    </row>
    <row r="20" spans="1:48" x14ac:dyDescent="0.25">
      <c r="A20" s="1" t="s">
        <v>79</v>
      </c>
      <c r="B20" s="152">
        <v>28499487</v>
      </c>
      <c r="J20" s="87">
        <f t="shared" ref="J20:J34" ca="1" si="35">SUM(L20:AB20)</f>
        <v>0.99999999999999978</v>
      </c>
      <c r="K20" s="91" t="s">
        <v>108</v>
      </c>
      <c r="L20" s="4">
        <f ca="1">RANDBETWEEN(5,10)/100</f>
        <v>0.09</v>
      </c>
      <c r="M20" s="71"/>
      <c r="N20" s="4">
        <f t="shared" ref="N20:N35" ca="1" si="36">(AG20-MIN($AF20:$AU20))/$AV20</f>
        <v>9.7066666666666662E-2</v>
      </c>
      <c r="O20" s="4">
        <f t="shared" ref="O20:O35" ca="1" si="37">(AH20-MIN($AF20:$AU20))/$AV20</f>
        <v>7.279999999999999E-2</v>
      </c>
      <c r="P20" s="4">
        <f t="shared" ref="P20:P35" ca="1" si="38">(AI20-MIN($AF20:$AU20))/$AV20</f>
        <v>7.279999999999999E-2</v>
      </c>
      <c r="Q20" s="4">
        <f t="shared" ref="Q20:Q35" ca="1" si="39">(AJ20-MIN($AF20:$AU20))/$AV20</f>
        <v>9.7066666666666662E-2</v>
      </c>
      <c r="R20" s="4">
        <f t="shared" ref="R20:R35" ca="1" si="40">(AK20-MIN($AF20:$AU20))/$AV20</f>
        <v>4.8533333333333331E-2</v>
      </c>
      <c r="S20" s="4">
        <f t="shared" ref="S20:S35" ca="1" si="41">(AL20-MIN($AF20:$AU20))/$AV20</f>
        <v>4.8533333333333331E-2</v>
      </c>
      <c r="T20" s="4">
        <f t="shared" ref="T20:T35" ca="1" si="42">(AM20-MIN($AF20:$AU20))/$AV20</f>
        <v>7.279999999999999E-2</v>
      </c>
      <c r="U20" s="4">
        <f t="shared" ref="U20:U35" ca="1" si="43">(AN20-MIN($AF20:$AU20))/$AV20</f>
        <v>3.6399999999999995E-2</v>
      </c>
      <c r="V20" s="4">
        <f t="shared" ref="V20:V35" ca="1" si="44">(AO20-MIN($AF20:$AU20))/$AV20</f>
        <v>1.2133333333333333E-2</v>
      </c>
      <c r="W20" s="4">
        <f t="shared" ref="W20:W35" ca="1" si="45">(AP20-MIN($AF20:$AU20))/$AV20</f>
        <v>7.279999999999999E-2</v>
      </c>
      <c r="X20" s="4">
        <f t="shared" ref="X20:X35" ca="1" si="46">(AQ20-MIN($AF20:$AU20))/$AV20</f>
        <v>6.066666666666666E-2</v>
      </c>
      <c r="Y20" s="4">
        <f t="shared" ref="Y20:Y35" ca="1" si="47">(AR20-MIN($AF20:$AU20))/$AV20</f>
        <v>7.279999999999999E-2</v>
      </c>
      <c r="Z20" s="4">
        <f t="shared" ref="Z20:Z35" ca="1" si="48">(AS20-MIN($AF20:$AU20))/$AV20</f>
        <v>4.8533333333333331E-2</v>
      </c>
      <c r="AA20" s="4">
        <f t="shared" ref="AA20:AA33" ca="1" si="49">(AT20-MIN($AF20:$AU20))/$AV20</f>
        <v>0</v>
      </c>
      <c r="AB20" s="4">
        <f ca="1">(AU20-MIN($AF20:$AU20))/$AV20</f>
        <v>9.7066666666666662E-2</v>
      </c>
      <c r="AD20" s="99" t="s">
        <v>108</v>
      </c>
      <c r="AE20" s="85"/>
      <c r="AF20" s="85"/>
      <c r="AG20" s="85">
        <f>Proposition!T$27+Proposition!T$28+Proposition!T$31+Proposition!T$34+Proposition!T$37+Proposition!T$38</f>
        <v>7</v>
      </c>
      <c r="AH20" s="85">
        <f>Proposition!T$27+Proposition!T$29+Proposition!T$31+Proposition!T$38+Proposition!T$43</f>
        <v>5</v>
      </c>
      <c r="AI20" s="85">
        <f>Proposition!T$27+Proposition!T$28+Proposition!T$31+Proposition!T$38+Proposition!T$41</f>
        <v>5</v>
      </c>
      <c r="AJ20" s="85">
        <f>Proposition!T$24+Proposition!T$26+Proposition!T$29+Proposition!T$31+Proposition!T$35</f>
        <v>7</v>
      </c>
      <c r="AK20" s="85">
        <f>Proposition!T$24+Proposition!T$29+Proposition!T$31</f>
        <v>3</v>
      </c>
      <c r="AL20" s="85">
        <f>Proposition!T$24+Proposition!T$26+Proposition!T$31</f>
        <v>3</v>
      </c>
      <c r="AM20" s="85">
        <f>Proposition!T$24+Proposition!T$29+Proposition!T$31+Proposition!T$35</f>
        <v>5</v>
      </c>
      <c r="AN20" s="85">
        <f>Proposition!T$27+Proposition!T$28+Proposition!T$31</f>
        <v>2</v>
      </c>
      <c r="AO20" s="85">
        <f>Proposition!T$24+Proposition!T$28+Proposition!T$31</f>
        <v>0</v>
      </c>
      <c r="AP20" s="85">
        <f>Proposition!T$27+Proposition!T$29+Proposition!T$31</f>
        <v>5</v>
      </c>
      <c r="AQ20" s="85">
        <f>Proposition!T$27+Proposition!T$28+Proposition!T$31+Proposition!T$34</f>
        <v>4</v>
      </c>
      <c r="AR20" s="85">
        <f>Proposition!T$27+Proposition!T$29+Proposition!T$31</f>
        <v>5</v>
      </c>
      <c r="AS20" s="85">
        <f>Proposition!T$27+Proposition!T$31</f>
        <v>3</v>
      </c>
      <c r="AT20" s="85">
        <f>Proposition!T$24+Proposition!T$28+Proposition!T$30+Proposition!T$41</f>
        <v>-1</v>
      </c>
      <c r="AU20" s="85">
        <f>Proposition!T$27+Proposition!T$29+Proposition!T$31+Proposition!T$35</f>
        <v>7</v>
      </c>
      <c r="AV20" s="86">
        <f ca="1">SUM(AG20-MIN(AF20:AU20),AH20-MIN(AF20:AU20),AI20-MIN(AF20:AU20),AJ20-MIN(AF20:AU20),AK20-MIN(AF20:AU20),AL20-MIN(AF20:AU20),AM20-MIN(AF20:AU20),AN20-MIN(AF20:AU20),AO20-MIN(AF20:AU20),AP20-MIN(AF20:AU20),AQ20-MIN(AF20:AU20),AR20-MIN(AF20:AU20),AS20-MIN(AF20:AU20),AT20-MIN(AF20:AU20),AU20-MIN(AF20:AU20))+((L20*SUM(AG20-MIN(AF20:AU20),AH20-MIN(AF20:AU20),AI20-MIN(AF20:AU20),AJ20-MIN(AF20:AU20),AK20-MIN(AF20:AU20),AL20-MIN(AF20:AU20),AM20-MIN(AF20:AU20),AN20-MIN(AF20:AU20),AO20-MIN(AF20:AU20),AP20-MIN(AF20:AU20),AQ20-MIN(AF20:AU20),AR20-MIN(AF20:AU20),AS20-MIN(AF20:AU20),AT20-MIN(AF20:AU20),AU20-MIN(AF20:AU20)))/(1-L20))</f>
        <v>82.417582417582423</v>
      </c>
    </row>
    <row r="21" spans="1:48" x14ac:dyDescent="0.25">
      <c r="A21" t="s">
        <v>125</v>
      </c>
      <c r="B21" s="25">
        <v>998401</v>
      </c>
      <c r="J21" s="87">
        <f t="shared" ca="1" si="35"/>
        <v>1</v>
      </c>
      <c r="K21" s="92" t="s">
        <v>60</v>
      </c>
      <c r="L21" s="4">
        <f t="shared" ref="L21:L35" ca="1" si="50">RANDBETWEEN(5,10)/100</f>
        <v>0.06</v>
      </c>
      <c r="M21" s="4">
        <f t="shared" ref="M21:M35" ca="1" si="51">(AF21-MIN($AF21:$AU21))/$AV21</f>
        <v>8.7216494845360829E-2</v>
      </c>
      <c r="N21" s="71"/>
      <c r="O21" s="4">
        <f t="shared" ca="1" si="37"/>
        <v>7.7525773195876294E-2</v>
      </c>
      <c r="P21" s="4">
        <f t="shared" ca="1" si="38"/>
        <v>7.7525773195876294E-2</v>
      </c>
      <c r="Q21" s="4">
        <f t="shared" ca="1" si="39"/>
        <v>9.6907216494845363E-2</v>
      </c>
      <c r="R21" s="4">
        <f t="shared" ca="1" si="40"/>
        <v>7.7525773195876294E-2</v>
      </c>
      <c r="S21" s="4">
        <f t="shared" ca="1" si="41"/>
        <v>5.8144329896907217E-2</v>
      </c>
      <c r="T21" s="4">
        <f t="shared" ca="1" si="42"/>
        <v>7.7525773195876294E-2</v>
      </c>
      <c r="U21" s="4">
        <f t="shared" ca="1" si="43"/>
        <v>4.8453608247422682E-2</v>
      </c>
      <c r="V21" s="4">
        <f t="shared" ca="1" si="44"/>
        <v>1.9381443298969073E-2</v>
      </c>
      <c r="W21" s="4">
        <f t="shared" ca="1" si="45"/>
        <v>5.8144329896907217E-2</v>
      </c>
      <c r="X21" s="4">
        <f t="shared" ca="1" si="46"/>
        <v>0</v>
      </c>
      <c r="Y21" s="4">
        <f t="shared" ca="1" si="47"/>
        <v>7.7525773195876294E-2</v>
      </c>
      <c r="Z21" s="4">
        <f t="shared" ca="1" si="48"/>
        <v>5.8144329896907217E-2</v>
      </c>
      <c r="AA21" s="4">
        <f t="shared" ca="1" si="49"/>
        <v>4.8453608247422682E-2</v>
      </c>
      <c r="AB21" s="4">
        <f t="shared" ref="AB21:AB33" ca="1" si="52">(AU21-MIN($AF21:$AU21))/$AV21</f>
        <v>7.7525773195876294E-2</v>
      </c>
      <c r="AD21" s="99" t="s">
        <v>60</v>
      </c>
      <c r="AE21" s="85"/>
      <c r="AF21" s="85">
        <f>Proposition!T$27+Proposition!T$28+Proposition!T$31+Proposition!T$33+Proposition!T$38+Proposition!T$39+Proposition!T$43</f>
        <v>6</v>
      </c>
      <c r="AG21" s="85"/>
      <c r="AH21" s="85">
        <f>Proposition!T$24+Proposition!T$29+Proposition!T$31+Proposition!T$33+Proposition!T$38+Proposition!T$43</f>
        <v>5</v>
      </c>
      <c r="AI21" s="85">
        <f>Proposition!T$27+Proposition!T$28+Proposition!T$31+Proposition!T$38+Proposition!T$41</f>
        <v>5</v>
      </c>
      <c r="AJ21" s="85">
        <f>Proposition!T$24+Proposition!T$26+Proposition!T$29+Proposition!T$31+Proposition!T$36</f>
        <v>7</v>
      </c>
      <c r="AK21" s="85">
        <f>Proposition!T$27+Proposition!T$29+Proposition!T$31</f>
        <v>5</v>
      </c>
      <c r="AL21" s="85">
        <f>Proposition!T$24+Proposition!T$26+Proposition!T$31</f>
        <v>3</v>
      </c>
      <c r="AM21" s="85">
        <f>Proposition!T$24+Proposition!T$29+Proposition!T$31+Proposition!T$36</f>
        <v>5</v>
      </c>
      <c r="AN21" s="85">
        <f>Proposition!T$27+Proposition!T$28+Proposition!T$31</f>
        <v>2</v>
      </c>
      <c r="AO21" s="85">
        <f>Proposition!T$24*2+Proposition!T$28+Proposition!T$31</f>
        <v>-1</v>
      </c>
      <c r="AP21" s="85">
        <f>Proposition!T$24+Proposition!T$29+Proposition!T$31</f>
        <v>3</v>
      </c>
      <c r="AQ21" s="85">
        <f>Proposition!T$24+Proposition!T$28+Proposition!T$30+Proposition!T$32+Proposition!T$36</f>
        <v>-3</v>
      </c>
      <c r="AR21" s="85">
        <f>Proposition!T$24+Proposition!T$26+Proposition!T$29+Proposition!T$31</f>
        <v>5</v>
      </c>
      <c r="AS21" s="85">
        <f>Proposition!T$24+Proposition!T$26+Proposition!T$31</f>
        <v>3</v>
      </c>
      <c r="AT21" s="85">
        <f>Proposition!T$24+Proposition!T$28+Proposition!T$31+Proposition!T$41</f>
        <v>2</v>
      </c>
      <c r="AU21" s="85">
        <f>Proposition!T$24+Proposition!T$29+Proposition!T$31+Proposition!T$36</f>
        <v>5</v>
      </c>
      <c r="AV21" s="86">
        <f ca="1">SUM(AF21-MIN(AF21:AU21),AH21-MIN(AF21:AU21),AI21-MIN(AF21:AU21),AJ21-MIN(AF21:AU21),AK21-MIN(AF21:AU21),AL21-MIN(AF21:AU21),AM21-MIN(AF21:AU21),AN21-MIN(AF21:AU21),AO21-MIN(AF21:AU21),AP21-MIN(AF21:AU21),AQ21-MIN(AF21:AU21),AR21-MIN(AF21:AU21),AS21-MIN(AF21:AU21),AT21-MIN(AF21:AU21),AU21-MIN(AF21:AU21))+((L21*SUM(AF21-MIN(AF21:AU21),AH21-MIN(AF21:AU21),AI21-MIN(AF21:AU21),AJ21-MIN(AF21:AU21),AK21-MIN(AF21:AU21),AL21-MIN(AF21:AU21),AM21-MIN(AF21:AU21),AN21-MIN(AF21:AU21),AO21-MIN(AF21:AU21),AP21-MIN(AF21:AU21),AQ21-MIN(AF21:AU21),AR21-MIN(AF21:AU21),AS21-MIN(AF21:AU21),AT21-MIN(AF21:AU21),AU21-MIN(AF21:AU21)))/(1-L21))</f>
        <v>103.19148936170212</v>
      </c>
    </row>
    <row r="22" spans="1:48" x14ac:dyDescent="0.25">
      <c r="A22" s="1" t="s">
        <v>82</v>
      </c>
      <c r="B22" s="152">
        <v>29497888</v>
      </c>
      <c r="J22" s="87">
        <f t="shared" ca="1" si="35"/>
        <v>0.99999999999999989</v>
      </c>
      <c r="K22" s="93" t="s">
        <v>66</v>
      </c>
      <c r="L22" s="4">
        <f t="shared" ca="1" si="50"/>
        <v>0.06</v>
      </c>
      <c r="M22" s="4">
        <f t="shared" ca="1" si="51"/>
        <v>0.10591549295774647</v>
      </c>
      <c r="N22" s="4">
        <f t="shared" ca="1" si="36"/>
        <v>0.11915492957746478</v>
      </c>
      <c r="O22" s="71"/>
      <c r="P22" s="4">
        <f t="shared" ca="1" si="38"/>
        <v>0.11915492957746478</v>
      </c>
      <c r="Q22" s="4">
        <f t="shared" ca="1" si="39"/>
        <v>6.6197183098591544E-2</v>
      </c>
      <c r="R22" s="4">
        <f t="shared" ca="1" si="40"/>
        <v>3.9718309859154928E-2</v>
      </c>
      <c r="S22" s="4">
        <f t="shared" ca="1" si="41"/>
        <v>1.3239436619718308E-2</v>
      </c>
      <c r="T22" s="4">
        <f t="shared" ca="1" si="42"/>
        <v>3.9718309859154928E-2</v>
      </c>
      <c r="U22" s="4">
        <f t="shared" ca="1" si="43"/>
        <v>7.9436619718309856E-2</v>
      </c>
      <c r="V22" s="4">
        <f t="shared" ca="1" si="44"/>
        <v>7.9436619718309856E-2</v>
      </c>
      <c r="W22" s="4">
        <f t="shared" ca="1" si="45"/>
        <v>0</v>
      </c>
      <c r="X22" s="4">
        <f t="shared" ca="1" si="46"/>
        <v>0.10591549295774647</v>
      </c>
      <c r="Y22" s="4">
        <f t="shared" ca="1" si="47"/>
        <v>0</v>
      </c>
      <c r="Z22" s="4">
        <f t="shared" ca="1" si="48"/>
        <v>2.6478873239436616E-2</v>
      </c>
      <c r="AA22" s="4">
        <f t="shared" ca="1" si="49"/>
        <v>0.10591549295774647</v>
      </c>
      <c r="AB22" s="4">
        <f t="shared" ca="1" si="52"/>
        <v>3.9718309859154928E-2</v>
      </c>
      <c r="AD22" s="99" t="s">
        <v>66</v>
      </c>
      <c r="AE22" s="85"/>
      <c r="AF22" s="112">
        <f>Proposition!T$27+Proposition!T$29+Proposition!T$31+Proposition!T$38+Proposition!T$39+Proposition!T$43</f>
        <v>7</v>
      </c>
      <c r="AG22" s="112">
        <f>Proposition!T$24+Proposition!T$29+Proposition!T$31+Proposition!T$35+Proposition!T$37+Proposition!T$38</f>
        <v>8</v>
      </c>
      <c r="AH22" s="85"/>
      <c r="AI22" s="85">
        <f>Proposition!T$27+Proposition!T$29+Proposition!T$31+Proposition!T$38+Proposition!T$41</f>
        <v>8</v>
      </c>
      <c r="AJ22" s="85">
        <f>Proposition!T$24+Proposition!T$26+Proposition!T$28+Proposition!T$31+Proposition!T$34</f>
        <v>4</v>
      </c>
      <c r="AK22" s="85">
        <f>Proposition!T$27+Proposition!T$28+Proposition!T$31</f>
        <v>2</v>
      </c>
      <c r="AL22" s="85">
        <f>Proposition!T$24*2+Proposition!T$31</f>
        <v>0</v>
      </c>
      <c r="AM22" s="85">
        <f>Proposition!T$24+Proposition!T$28+Proposition!T$31+Proposition!T$34</f>
        <v>2</v>
      </c>
      <c r="AN22" s="85">
        <f>Proposition!T$27+Proposition!T$29+Proposition!T$31</f>
        <v>5</v>
      </c>
      <c r="AO22" s="85">
        <f>Proposition!T$27+Proposition!T$29+Proposition!T$31</f>
        <v>5</v>
      </c>
      <c r="AP22" s="85">
        <f>Proposition!T$24*2+Proposition!T$28+Proposition!T$31</f>
        <v>-1</v>
      </c>
      <c r="AQ22" s="85">
        <f>Proposition!T$27+Proposition!T$29+Proposition!T$31+Proposition!T$35</f>
        <v>7</v>
      </c>
      <c r="AR22" s="85">
        <f>Proposition!T$24*2+Proposition!T$28+Proposition!T$31</f>
        <v>-1</v>
      </c>
      <c r="AS22" s="85">
        <f>Proposition!T$24+Proposition!T$31</f>
        <v>1</v>
      </c>
      <c r="AT22" s="85">
        <f>Proposition!T$27+Proposition!T$29+Proposition!T$31+Proposition!T$41</f>
        <v>7</v>
      </c>
      <c r="AU22" s="85">
        <f>Proposition!T$24+Proposition!T$28+Proposition!T$31+Proposition!T$34</f>
        <v>2</v>
      </c>
      <c r="AV22" s="86">
        <f ca="1">SUM(AF22-MIN(AF22:AU22),AG22-MIN(AF22:AU22),AI22-MIN(AF22:AU22),AJ22-MIN(AF22:AU22),AK22-MIN(AF22:AU22),AL22-MIN(AF22:AU22),AM22-MIN(AF22:AU22),AN22-MIN(AF22:AU22),AO22-MIN(AF22:AU22),AP22-MIN(AF22:AU22),AQ22-MIN(AF22:AU22),AR22-MIN(AF22:AU22),AS22-MIN(AF22:AU22),AT22-MIN(AF22:AU22),AU22-MIN(AF22:AU22))+((L22*SUM(AF22-MIN(AF22:AU22),AG22-MIN(AF22:AU22),AI22-MIN(AF22:AU22),AJ22-MIN(AF22:AU22),AK22-MIN(AF22:AU22),AL22-MIN(AF22:AU22),AM22-MIN(AF22:AU22),AN22-MIN(AF22:AU22),AO22-MIN(AF22:AU22),AP22-MIN(AF22:AU22),AQ22-MIN(AF22:AU22),AR22-MIN(AF22:AU22),AS22-MIN(AF22:AU22),AT22-MIN(AF22:AU22),AU22-MIN(AF22:AU22)))/(1-L22))</f>
        <v>75.531914893617028</v>
      </c>
    </row>
    <row r="23" spans="1:48" x14ac:dyDescent="0.25">
      <c r="A23" t="s">
        <v>126</v>
      </c>
      <c r="B23" s="25">
        <v>11700076</v>
      </c>
      <c r="J23" s="87">
        <f t="shared" ca="1" si="35"/>
        <v>0.99999999999999989</v>
      </c>
      <c r="K23" s="91" t="s">
        <v>92</v>
      </c>
      <c r="L23" s="4">
        <f t="shared" ca="1" si="50"/>
        <v>0.08</v>
      </c>
      <c r="M23" s="4">
        <f t="shared" ca="1" si="51"/>
        <v>5.609756097560975E-2</v>
      </c>
      <c r="N23" s="4">
        <f t="shared" ca="1" si="36"/>
        <v>8.9756097560975606E-2</v>
      </c>
      <c r="O23" s="4">
        <f t="shared" ca="1" si="37"/>
        <v>6.7317073170731698E-2</v>
      </c>
      <c r="P23" s="71"/>
      <c r="Q23" s="4">
        <f t="shared" ca="1" si="39"/>
        <v>8.9756097560975606E-2</v>
      </c>
      <c r="R23" s="4">
        <f t="shared" ca="1" si="40"/>
        <v>6.7317073170731698E-2</v>
      </c>
      <c r="S23" s="4">
        <f t="shared" ca="1" si="41"/>
        <v>4.4878048780487803E-2</v>
      </c>
      <c r="T23" s="4">
        <f t="shared" ca="1" si="42"/>
        <v>8.9756097560975606E-2</v>
      </c>
      <c r="U23" s="4">
        <f t="shared" ca="1" si="43"/>
        <v>3.3658536585365849E-2</v>
      </c>
      <c r="V23" s="4">
        <f t="shared" ca="1" si="44"/>
        <v>0</v>
      </c>
      <c r="W23" s="4">
        <f t="shared" ca="1" si="45"/>
        <v>6.7317073170731698E-2</v>
      </c>
      <c r="X23" s="4">
        <f t="shared" ca="1" si="46"/>
        <v>5.609756097560975E-2</v>
      </c>
      <c r="Y23" s="4">
        <f t="shared" ca="1" si="47"/>
        <v>6.7317073170731698E-2</v>
      </c>
      <c r="Z23" s="4">
        <f t="shared" ca="1" si="48"/>
        <v>4.4878048780487803E-2</v>
      </c>
      <c r="AA23" s="4">
        <f t="shared" ca="1" si="49"/>
        <v>5.609756097560975E-2</v>
      </c>
      <c r="AB23" s="4">
        <f t="shared" ca="1" si="52"/>
        <v>8.9756097560975606E-2</v>
      </c>
      <c r="AD23" s="99" t="s">
        <v>92</v>
      </c>
      <c r="AE23" s="85"/>
      <c r="AF23" s="112">
        <f>Proposition!T$27+Proposition!T$28+Proposition!T$31+Proposition!T$38+Proposition!T$39+Proposition!T$43</f>
        <v>4</v>
      </c>
      <c r="AG23" s="112">
        <f>Proposition!T$27+Proposition!T$28+Proposition!T$31+Proposition!T$34+Proposition!T$37+Proposition!T$38</f>
        <v>7</v>
      </c>
      <c r="AH23" s="85">
        <f>Proposition!T$27+Proposition!T$29+Proposition!T$31+Proposition!T$38+Proposition!T$43</f>
        <v>5</v>
      </c>
      <c r="AI23" s="85"/>
      <c r="AJ23" s="85">
        <f>Proposition!T$27+Proposition!T$29+Proposition!T$31+Proposition!T$35</f>
        <v>7</v>
      </c>
      <c r="AK23" s="85">
        <f>Proposition!T$27+Proposition!T$29+Proposition!T$31</f>
        <v>5</v>
      </c>
      <c r="AL23" s="85">
        <f>Proposition!T$27+Proposition!T$31</f>
        <v>3</v>
      </c>
      <c r="AM23" s="85">
        <f>Proposition!T$27+Proposition!T$29+Proposition!T$31+Proposition!T$35</f>
        <v>7</v>
      </c>
      <c r="AN23" s="85">
        <f>Proposition!T$27+Proposition!T$28+Proposition!T$31</f>
        <v>2</v>
      </c>
      <c r="AO23" s="85">
        <f>Proposition!T$27+Proposition!T$28+Proposition!T$30</f>
        <v>-1</v>
      </c>
      <c r="AP23" s="85">
        <f>Proposition!T$27+Proposition!T$29+Proposition!T$31</f>
        <v>5</v>
      </c>
      <c r="AQ23" s="85">
        <f>Proposition!T$27+Proposition!T$28+Proposition!T$31+Proposition!T$34</f>
        <v>4</v>
      </c>
      <c r="AR23" s="85">
        <f>Proposition!T$27+Proposition!T$29+Proposition!T$31</f>
        <v>5</v>
      </c>
      <c r="AS23" s="85">
        <f>Proposition!T$27+Proposition!T$31</f>
        <v>3</v>
      </c>
      <c r="AT23" s="85">
        <f>Proposition!T$27+Proposition!T$28+Proposition!T$31+Proposition!T$41</f>
        <v>4</v>
      </c>
      <c r="AU23" s="85">
        <f>Proposition!T$27+Proposition!T$29+Proposition!T$31+Proposition!T$35</f>
        <v>7</v>
      </c>
      <c r="AV23" s="86">
        <f ca="1">SUM(AF23-MIN(AF23:AU23),AG23-MIN(AF23:AU23),AH23-MIN(AF23:AU23),AJ23-MIN(AF23:AU23),AK23-MIN(AF23:AU23),AL23-MIN(AF23:AU23),AM23-MIN(AF23:AU23),AN23-MIN(AF23:AU23),AO23-MIN(AF23:AU23),AP23-MIN(AF23:AU23),AQ23-MIN(AF23:AU23),AR23-MIN(AF23:AU23),AS23-MIN(AF23:AU23),AT23-MIN(AF23:AU23),AU23-MIN(AF23:AU23))+((L23*SUM(AF23-MIN(AF23:AU23),AG23-MIN(AF23:AU23),AH23-MIN(AF23:AU23),AJ23-MIN(AF23:AU23),AK23-MIN(AF23:AU23),AL23-MIN(AF23:AU23),AM23-MIN(AF23:AU23),AN23-MIN(AF23:AU23),AO23-MIN(AF23:AU23),AP23-MIN(AF23:AU23),AQ23-MIN(AF23:AU23),AR23-MIN(AF23:AU23),AS23-MIN(AF23:AU23),AT23-MIN(AF23:AU23),AU23-MIN(AF23:AU23)))/(1-L23))</f>
        <v>89.130434782608702</v>
      </c>
    </row>
    <row r="24" spans="1:48" x14ac:dyDescent="0.25">
      <c r="A24" s="1" t="s">
        <v>83</v>
      </c>
      <c r="B24" s="152">
        <v>41197964</v>
      </c>
      <c r="J24" s="87">
        <f t="shared" ca="1" si="35"/>
        <v>0.99999999999999978</v>
      </c>
      <c r="K24" s="93" t="s">
        <v>76</v>
      </c>
      <c r="L24" s="4">
        <f t="shared" ca="1" si="50"/>
        <v>0.05</v>
      </c>
      <c r="M24" s="4">
        <f t="shared" ca="1" si="51"/>
        <v>0.12214285714285714</v>
      </c>
      <c r="N24" s="4">
        <f t="shared" ca="1" si="36"/>
        <v>0.1357142857142857</v>
      </c>
      <c r="O24" s="4">
        <f t="shared" ca="1" si="37"/>
        <v>5.4285714285714284E-2</v>
      </c>
      <c r="P24" s="4">
        <f t="shared" ca="1" si="38"/>
        <v>0.10857142857142857</v>
      </c>
      <c r="Q24" s="71"/>
      <c r="R24" s="4">
        <f t="shared" ca="1" si="40"/>
        <v>4.071428571428571E-2</v>
      </c>
      <c r="S24" s="4">
        <f t="shared" ca="1" si="41"/>
        <v>2.7142857142857142E-2</v>
      </c>
      <c r="T24" s="4">
        <f t="shared" ca="1" si="42"/>
        <v>1.3571428571428571E-2</v>
      </c>
      <c r="U24" s="4">
        <f t="shared" ca="1" si="43"/>
        <v>8.142857142857142E-2</v>
      </c>
      <c r="V24" s="4">
        <f t="shared" ca="1" si="44"/>
        <v>9.4999999999999987E-2</v>
      </c>
      <c r="W24" s="4">
        <f t="shared" ca="1" si="45"/>
        <v>0</v>
      </c>
      <c r="X24" s="4">
        <f t="shared" ca="1" si="46"/>
        <v>0.12214285714285714</v>
      </c>
      <c r="Y24" s="4">
        <f t="shared" ca="1" si="47"/>
        <v>1.3571428571428571E-2</v>
      </c>
      <c r="Z24" s="4">
        <f t="shared" ca="1" si="48"/>
        <v>2.7142857142857142E-2</v>
      </c>
      <c r="AA24" s="4">
        <f t="shared" ca="1" si="49"/>
        <v>0.10857142857142857</v>
      </c>
      <c r="AB24" s="4">
        <f t="shared" ca="1" si="52"/>
        <v>0</v>
      </c>
      <c r="AD24" s="99" t="s">
        <v>76</v>
      </c>
      <c r="AE24" s="85"/>
      <c r="AF24" s="112">
        <f>Proposition!T$24+Proposition!T$26+Proposition!T$29+Proposition!T$31+Proposition!T$33+Proposition!T$39+Proposition!T$43</f>
        <v>8</v>
      </c>
      <c r="AG24" s="112">
        <f>Proposition!T$24+Proposition!T$26+Proposition!T$29+Proposition!T$31+Proposition!T$36+Proposition!T$37</f>
        <v>9</v>
      </c>
      <c r="AH24" s="85">
        <f>Proposition!T$24+Proposition!T$26+Proposition!T$28+Proposition!T$31+Proposition!T$33+Proposition!T$43</f>
        <v>3</v>
      </c>
      <c r="AI24" s="85">
        <f>Proposition!T$27+Proposition!T$29+Proposition!T$31+Proposition!T$41</f>
        <v>7</v>
      </c>
      <c r="AJ24" s="85"/>
      <c r="AK24" s="85">
        <f>Proposition!T$27+Proposition!T$28+Proposition!T$31</f>
        <v>2</v>
      </c>
      <c r="AL24" s="85">
        <f>Proposition!T$24+Proposition!T$31</f>
        <v>1</v>
      </c>
      <c r="AM24" s="85">
        <f>Proposition!T$24*2+Proposition!T$25+Proposition!T$28+Proposition!T$31+Proposition!T$36</f>
        <v>0</v>
      </c>
      <c r="AN24" s="85">
        <f>Proposition!T$27+Proposition!T$29+Proposition!T$31</f>
        <v>5</v>
      </c>
      <c r="AO24" s="85">
        <f>Proposition!T$26+Proposition!T$29+Proposition!T$31</f>
        <v>6</v>
      </c>
      <c r="AP24" s="85">
        <f>Proposition!T$24+Proposition!T$28+Proposition!T$30+Proposition!T$33</f>
        <v>-1</v>
      </c>
      <c r="AQ24" s="85">
        <f>Proposition!T$26+Proposition!T$29+Proposition!T$31+Proposition!T$36</f>
        <v>8</v>
      </c>
      <c r="AR24" s="85">
        <f>Proposition!T$24+Proposition!T$28+Proposition!T$31</f>
        <v>0</v>
      </c>
      <c r="AS24" s="85">
        <f>Proposition!T$24+Proposition!T$31</f>
        <v>1</v>
      </c>
      <c r="AT24" s="85">
        <f>Proposition!T$27+Proposition!T$29+Proposition!T$31+Proposition!T$41</f>
        <v>7</v>
      </c>
      <c r="AU24" s="85">
        <f>Proposition!T$24+Proposition!T$28+Proposition!T$30+Proposition!T$36</f>
        <v>-1</v>
      </c>
      <c r="AV24" s="86">
        <f ca="1">SUM(AF24-MIN(AF24:AU24),AG24-MIN(AF24:AU24),AH24-MIN(AF24:AU24),AI24-MIN(AF24:AU24),AK24-MIN(AF24:AU24),AL24-MIN(AF24:AU24),AM24-MIN(AF24:AU24),AN24-MIN(AF24:AU24),AO24-MIN(AF24:AU24),AP24-MIN(AF24:AU24),AQ24-MIN(AF24:AU24),AR24-MIN(AF24:AU24),AS24-MIN(AF24:AU24),AT24-MIN(AF24:AU24),AU24-MIN(AF24:AU24))+((L24*SUM(AF24-MIN(AF24:AU24),AG24-MIN(AF24:AU24),AH24-MIN(AF24:AU24),AI24-MIN(AF24:AU24),AK24-MIN(AF24:AU24),AL24-MIN(AF24:AU24),AM24-MIN(AF24:AU24),AN24-MIN(AF24:AU24),AO24-MIN(AF24:AU24),AP24-MIN(AF24:AU24),AQ24-MIN(AF24:AU24),AR24-MIN(AF24:AU24),AS24-MIN(AF24:AU24),AT24-MIN(AF24:AU24),AU24-MIN(AF24:AU24)))/(1-L24))</f>
        <v>73.684210526315795</v>
      </c>
    </row>
    <row r="25" spans="1:48" x14ac:dyDescent="0.25">
      <c r="J25" s="87">
        <f t="shared" ca="1" si="35"/>
        <v>1</v>
      </c>
      <c r="K25" s="93" t="s">
        <v>110</v>
      </c>
      <c r="L25" s="4">
        <f t="shared" ca="1" si="50"/>
        <v>0.08</v>
      </c>
      <c r="M25" s="4">
        <f t="shared" ca="1" si="51"/>
        <v>0.06</v>
      </c>
      <c r="N25" s="4">
        <f t="shared" ca="1" si="36"/>
        <v>0.16</v>
      </c>
      <c r="O25" s="4">
        <f t="shared" ca="1" si="37"/>
        <v>0</v>
      </c>
      <c r="P25" s="4">
        <f t="shared" ca="1" si="38"/>
        <v>0.12</v>
      </c>
      <c r="Q25" s="4">
        <f t="shared" ca="1" si="39"/>
        <v>0.06</v>
      </c>
      <c r="R25" s="71"/>
      <c r="S25" s="4">
        <f t="shared" ca="1" si="41"/>
        <v>0.06</v>
      </c>
      <c r="T25" s="4">
        <f t="shared" ca="1" si="42"/>
        <v>0.06</v>
      </c>
      <c r="U25" s="4">
        <f t="shared" ca="1" si="43"/>
        <v>0.08</v>
      </c>
      <c r="V25" s="4">
        <f t="shared" ca="1" si="44"/>
        <v>0.08</v>
      </c>
      <c r="W25" s="4">
        <f t="shared" ca="1" si="45"/>
        <v>0.02</v>
      </c>
      <c r="X25" s="4">
        <f t="shared" ca="1" si="46"/>
        <v>0.12</v>
      </c>
      <c r="Y25" s="4">
        <f t="shared" ca="1" si="47"/>
        <v>0</v>
      </c>
      <c r="Z25" s="4">
        <f t="shared" ca="1" si="48"/>
        <v>0</v>
      </c>
      <c r="AA25" s="4">
        <f t="shared" ca="1" si="49"/>
        <v>0.08</v>
      </c>
      <c r="AB25" s="4">
        <f t="shared" ca="1" si="52"/>
        <v>0.02</v>
      </c>
      <c r="AD25" s="99" t="s">
        <v>110</v>
      </c>
      <c r="AE25" s="85"/>
      <c r="AF25" s="112">
        <f>Proposition!T$24+Proposition!T$29+Proposition!T$31+Proposition!T$39+Proposition!T$43</f>
        <v>4</v>
      </c>
      <c r="AG25" s="112">
        <f>Proposition!T$27+Proposition!T$29+Proposition!T$31+Proposition!T$35+Proposition!T$37</f>
        <v>9</v>
      </c>
      <c r="AH25" s="85">
        <f>Proposition!T$27+Proposition!T$28+Proposition!T$31+Proposition!T$43</f>
        <v>1</v>
      </c>
      <c r="AI25" s="85">
        <f>Proposition!T$27+Proposition!T$29+Proposition!T$31+Proposition!T$41</f>
        <v>7</v>
      </c>
      <c r="AJ25" s="85">
        <f>Proposition!T$27+Proposition!T$28+Proposition!T$31+Proposition!T$34</f>
        <v>4</v>
      </c>
      <c r="AK25" s="85"/>
      <c r="AL25" s="85">
        <f>Proposition!T$26+Proposition!T$31</f>
        <v>4</v>
      </c>
      <c r="AM25" s="85">
        <f>Proposition!T$27+Proposition!T$28+Proposition!T$31+Proposition!T$34</f>
        <v>4</v>
      </c>
      <c r="AN25" s="85">
        <f>Proposition!T$27+Proposition!T$29+Proposition!T$31</f>
        <v>5</v>
      </c>
      <c r="AO25" s="85">
        <f>Proposition!T$24+Proposition!T$26+Proposition!T$29+Proposition!T$31</f>
        <v>5</v>
      </c>
      <c r="AP25" s="85">
        <f>Proposition!T$27+Proposition!T$28+Proposition!T$31</f>
        <v>2</v>
      </c>
      <c r="AQ25" s="85">
        <f>Proposition!T$27+Proposition!T$29+Proposition!T$31+Proposition!T$35</f>
        <v>7</v>
      </c>
      <c r="AR25" s="85">
        <f>Proposition!T$28+Proposition!T$31</f>
        <v>1</v>
      </c>
      <c r="AS25" s="85">
        <f>Proposition!T$24+Proposition!T$31</f>
        <v>1</v>
      </c>
      <c r="AT25" s="85">
        <f>Proposition!T$24+Proposition!T$29+Proposition!T$31+Proposition!T$41</f>
        <v>5</v>
      </c>
      <c r="AU25" s="85">
        <f>Proposition!T$24+Proposition!T$28+Proposition!T$31+Proposition!T$34</f>
        <v>2</v>
      </c>
      <c r="AV25" s="86">
        <f ca="1">SUM(AF25-MIN(AF25:AU25),AG25-MIN(AF25:AU25),AH25-MIN(AF25:AU25),AI25-MIN(AF25:AU25),AJ25-MIN(AF25:AU25),AL25-MIN(AF25:AU25),AM25-MIN(AF25:AU25),AN25-MIN(AF25:AU25),AO25-MIN(AF25:AU25),AP25-MIN(AF25:AU25),AQ25-MIN(AF25:AU25),AR25-MIN(AF25:AU25),AS25-MIN(AF25:AU25),AT25-MIN(AF25:AU25),AU25-MIN(AF25:AU25))+((L25*SUM(AF25-MIN(AF25:AU25),AG25-MIN(AF25:AU25),AH25-MIN(AF25:AU25),AI25-MIN(AF25:AU25),AJ25-MIN(AF25:AU25),AL25-MIN(AF25:AU25),AM25-MIN(AF25:AU25),AN25-MIN(AF25:AU25),AO25-MIN(AF25:AU25),AP25-MIN(AF25:AU25),AQ25-MIN(AF25:AU25),AR25-MIN(AF25:AU25),AS25-MIN(AF25:AU25),AT25-MIN(AF25:AU25),AU25-MIN(AF25:AU25)))/(1-L25))</f>
        <v>50</v>
      </c>
    </row>
    <row r="26" spans="1:48" x14ac:dyDescent="0.25">
      <c r="J26" s="87">
        <f t="shared" ca="1" si="35"/>
        <v>1</v>
      </c>
      <c r="K26" s="94" t="s">
        <v>100</v>
      </c>
      <c r="L26" s="4">
        <f t="shared" ca="1" si="50"/>
        <v>7.0000000000000007E-2</v>
      </c>
      <c r="M26" s="4">
        <f t="shared" ca="1" si="51"/>
        <v>7.1538461538461537E-2</v>
      </c>
      <c r="N26" s="4">
        <f t="shared" ca="1" si="36"/>
        <v>9.8365384615384618E-2</v>
      </c>
      <c r="O26" s="4">
        <f t="shared" ca="1" si="37"/>
        <v>2.6826923076923078E-2</v>
      </c>
      <c r="P26" s="4">
        <f t="shared" ca="1" si="38"/>
        <v>8.0480769230769231E-2</v>
      </c>
      <c r="Q26" s="4">
        <f t="shared" ca="1" si="39"/>
        <v>6.2596153846153843E-2</v>
      </c>
      <c r="R26" s="4">
        <f t="shared" ca="1" si="40"/>
        <v>7.1538461538461537E-2</v>
      </c>
      <c r="S26" s="71"/>
      <c r="T26" s="4">
        <f t="shared" ca="1" si="42"/>
        <v>8.0480769230769231E-2</v>
      </c>
      <c r="U26" s="4">
        <f t="shared" ca="1" si="43"/>
        <v>5.3653846153846156E-2</v>
      </c>
      <c r="V26" s="4">
        <f t="shared" ca="1" si="44"/>
        <v>7.1538461538461537E-2</v>
      </c>
      <c r="W26" s="4">
        <f t="shared" ca="1" si="45"/>
        <v>3.5769230769230768E-2</v>
      </c>
      <c r="X26" s="4">
        <f t="shared" ca="1" si="46"/>
        <v>8.0480769230769231E-2</v>
      </c>
      <c r="Y26" s="4">
        <f t="shared" ca="1" si="47"/>
        <v>3.5769230769230768E-2</v>
      </c>
      <c r="Z26" s="4">
        <f t="shared" ca="1" si="48"/>
        <v>0</v>
      </c>
      <c r="AA26" s="4">
        <f t="shared" ca="1" si="49"/>
        <v>9.8365384615384618E-2</v>
      </c>
      <c r="AB26" s="4">
        <f t="shared" ca="1" si="52"/>
        <v>6.2596153846153843E-2</v>
      </c>
      <c r="AD26" s="99" t="s">
        <v>100</v>
      </c>
      <c r="AE26" s="85"/>
      <c r="AF26" s="112">
        <f>Proposition!T$24+Proposition!T$26+Proposition!T$31+Proposition!T$39+Proposition!T$43</f>
        <v>4</v>
      </c>
      <c r="AG26" s="112">
        <f>Proposition!T$24+Proposition!T$26+Proposition!T$31+Proposition!T$35+Proposition!T$37</f>
        <v>7</v>
      </c>
      <c r="AH26" s="85">
        <f>Proposition!T$24*2+Proposition!T$31+Proposition!T$43</f>
        <v>-1</v>
      </c>
      <c r="AI26" s="85">
        <f>Proposition!T$27+Proposition!T$31+Proposition!T$41</f>
        <v>5</v>
      </c>
      <c r="AJ26" s="85">
        <f>Proposition!T$24+Proposition!T$31+Proposition!T$35</f>
        <v>3</v>
      </c>
      <c r="AK26" s="85">
        <f>Proposition!T$26+Proposition!T$31</f>
        <v>4</v>
      </c>
      <c r="AL26" s="85"/>
      <c r="AM26" s="85">
        <f>Proposition!T$24+Proposition!T$26+Proposition!T$31+Proposition!T$35</f>
        <v>5</v>
      </c>
      <c r="AN26" s="85">
        <f>Proposition!T$26</f>
        <v>2</v>
      </c>
      <c r="AO26" s="85">
        <f>Proposition!T$26+Proposition!T$31</f>
        <v>4</v>
      </c>
      <c r="AP26" s="85">
        <f>Proposition!T$24*2+Proposition!T$31</f>
        <v>0</v>
      </c>
      <c r="AQ26" s="85">
        <f>Proposition!T$27+Proposition!T$31+Proposition!T$35</f>
        <v>5</v>
      </c>
      <c r="AR26" s="85">
        <f>Proposition!T$24*2+Proposition!T$31</f>
        <v>0</v>
      </c>
      <c r="AS26" s="85">
        <f>Proposition!T$24*3+Proposition!T$28</f>
        <v>-4</v>
      </c>
      <c r="AT26" s="85">
        <f>Proposition!T$24+Proposition!T$26*2+Proposition!T$31+Proposition!T$41</f>
        <v>7</v>
      </c>
      <c r="AU26" s="85">
        <f>Proposition!T$24+Proposition!T$31+Proposition!T$35</f>
        <v>3</v>
      </c>
      <c r="AV26" s="86">
        <f ca="1">SUM(AF26-MIN(AF26:AU26),AG26-MIN(AF26:AU26),AH26-MIN(AF26:AU26),AI26-MIN(AF26:AU26),AJ26-MIN(AF26:AU26),AK26-MIN(AF26:AU26),AM26-MIN(AF26:AU26),AN26-MIN(AF26:AU26),AO26-MIN(AF26:AU26),AP26-MIN(AF26:AU26),AQ26-MIN(AF26:AU26),AR26-MIN(AF26:AU26),AS26-MIN(AF26:AU26),AT26-MIN(AF26:AU26),AU26-MIN(AF26:AU26))+((L26*SUM(AF26-MIN(AF26:AU26),AG26-MIN(AF26:AU26),AH26-MIN(AF26:AU26),AI26-MIN(AF26:AU26),AJ26-MIN(AF26:AU26),AK26-MIN(AF26:AU26),AM26-MIN(AF26:AU26),AN26-MIN(AF26:AU26),AO26-MIN(AF26:AU26),AP26-MIN(AF26:AU26),AQ26-MIN(AF26:AU26),AR26-MIN(AF26:AU26),AS26-MIN(AF26:AU26),AT26-MIN(AF26:AU26),AU26-MIN(AF26:AU26)))/(1-L26))</f>
        <v>111.82795698924731</v>
      </c>
    </row>
    <row r="27" spans="1:48" x14ac:dyDescent="0.25">
      <c r="J27" s="87">
        <f t="shared" ca="1" si="35"/>
        <v>0.99999999999999989</v>
      </c>
      <c r="K27" s="95" t="s">
        <v>94</v>
      </c>
      <c r="L27" s="4">
        <f t="shared" ca="1" si="50"/>
        <v>7.0000000000000007E-2</v>
      </c>
      <c r="M27" s="4">
        <f t="shared" ca="1" si="51"/>
        <v>9.0416666666666659E-2</v>
      </c>
      <c r="N27" s="4">
        <f t="shared" ca="1" si="36"/>
        <v>0.12916666666666665</v>
      </c>
      <c r="O27" s="4">
        <f t="shared" ca="1" si="37"/>
        <v>0</v>
      </c>
      <c r="P27" s="4">
        <f t="shared" ca="1" si="38"/>
        <v>0.10333333333333333</v>
      </c>
      <c r="Q27" s="4">
        <f t="shared" ca="1" si="39"/>
        <v>1.2916666666666667E-2</v>
      </c>
      <c r="R27" s="4">
        <f t="shared" ca="1" si="40"/>
        <v>3.875E-2</v>
      </c>
      <c r="S27" s="4">
        <f t="shared" ca="1" si="41"/>
        <v>5.1666666666666666E-2</v>
      </c>
      <c r="T27" s="71"/>
      <c r="U27" s="4">
        <f t="shared" ca="1" si="43"/>
        <v>7.7499999999999999E-2</v>
      </c>
      <c r="V27" s="4">
        <f t="shared" ca="1" si="44"/>
        <v>7.7499999999999999E-2</v>
      </c>
      <c r="W27" s="4">
        <f t="shared" ca="1" si="45"/>
        <v>1.2916666666666667E-2</v>
      </c>
      <c r="X27" s="4">
        <f t="shared" ca="1" si="46"/>
        <v>0.12916666666666665</v>
      </c>
      <c r="Y27" s="4">
        <f t="shared" ca="1" si="47"/>
        <v>1.2916666666666667E-2</v>
      </c>
      <c r="Z27" s="4">
        <f t="shared" ca="1" si="48"/>
        <v>5.1666666666666666E-2</v>
      </c>
      <c r="AA27" s="4">
        <f t="shared" ca="1" si="49"/>
        <v>0.10333333333333333</v>
      </c>
      <c r="AB27" s="4">
        <f t="shared" ca="1" si="52"/>
        <v>3.875E-2</v>
      </c>
      <c r="AD27" s="99" t="s">
        <v>94</v>
      </c>
      <c r="AE27" s="85"/>
      <c r="AF27" s="112">
        <f>Proposition!T$24+Proposition!T$29+Proposition!T$31+Proposition!T$33+Proposition!T$39+Proposition!T$43</f>
        <v>6</v>
      </c>
      <c r="AG27" s="112">
        <f>Proposition!T$24+Proposition!T$29+Proposition!T$31+Proposition!T$33+Proposition!T$36+Proposition!T$37</f>
        <v>9</v>
      </c>
      <c r="AH27" s="85">
        <f>Proposition!T$24+Proposition!T$28+Proposition!T$31+Proposition!T$43</f>
        <v>-1</v>
      </c>
      <c r="AI27" s="85">
        <f>Proposition!T$27+Proposition!T$29+Proposition!T$31+Proposition!T$41</f>
        <v>7</v>
      </c>
      <c r="AJ27" s="85">
        <f>Proposition!T$24*2+Proposition!T$25+Proposition!T$28+Proposition!T$31+Proposition!T$36</f>
        <v>0</v>
      </c>
      <c r="AK27" s="85">
        <f>Proposition!T$27+Proposition!T$28+Proposition!T$31</f>
        <v>2</v>
      </c>
      <c r="AL27" s="85">
        <f>Proposition!T$24+Proposition!T$26+Proposition!T$31</f>
        <v>3</v>
      </c>
      <c r="AM27" s="85"/>
      <c r="AN27" s="85">
        <f>Proposition!T$27+Proposition!T$29+Proposition!T$31</f>
        <v>5</v>
      </c>
      <c r="AO27" s="85">
        <f>Proposition!T$27+Proposition!T$29+Proposition!T$31</f>
        <v>5</v>
      </c>
      <c r="AP27" s="85">
        <f>Proposition!T$24+Proposition!T$28+Proposition!T$31</f>
        <v>0</v>
      </c>
      <c r="AQ27" s="85">
        <f>Proposition!T$27+Proposition!T$29+Proposition!T$31+Proposition!T$33+Proposition!T$36</f>
        <v>9</v>
      </c>
      <c r="AR27" s="85">
        <f>Proposition!T$24+Proposition!T$28+Proposition!T$31</f>
        <v>0</v>
      </c>
      <c r="AS27" s="85">
        <f>Proposition!T$24+Proposition!T$26+Proposition!T$31</f>
        <v>3</v>
      </c>
      <c r="AT27" s="85">
        <f>Proposition!T$27+Proposition!T$29+Proposition!T$31+Proposition!T$41</f>
        <v>7</v>
      </c>
      <c r="AU27" s="85">
        <f>Proposition!T$24+Proposition!T$28+Proposition!T$31+Proposition!T$36</f>
        <v>2</v>
      </c>
      <c r="AV27" s="86">
        <f ca="1">SUM(AF27-MIN(AF27:AU27),AG27-MIN(AF27:AU27),AH27-MIN(AF27:AU27),AI27-MIN(AF27:AU27),AJ27-MIN(AF27:AU27),AK27-MIN(AF27:AU27),AL27-MIN(AF27:AU27),AN27-MIN(AF27:AU27),AO27-MIN(AF27:AU27),AP27-MIN(AF27:AU27),AQ27-MIN(AF27:AU27),AR27-MIN(AF27:AU27),AS27-MIN(AF27:AU27),AT27-MIN(AF27:AU27),AU27-MIN(AF27:AU27))+((L27*SUM(AF27-MIN(AF27:AU27),AG27-MIN(AF27:AU27),AH27-MIN(AF27:AU27),AI27-MIN(AF27:AU27),AJ27-MIN(AF27:AU27),AK27-MIN(AF27:AU27),AL27-MIN(AF27:AU27),AN27-MIN(AF27:AU27),AO27-MIN(AF27:AU27),AP27-MIN(AF27:AU27),AQ27-MIN(AF27:AU27),AR27-MIN(AF27:AU27),AS27-MIN(AF27:AU27),AT27-MIN(AF27:AU27),AU27-MIN(AF27:AU27)))/(1-L27))</f>
        <v>77.41935483870968</v>
      </c>
    </row>
    <row r="28" spans="1:48" x14ac:dyDescent="0.25">
      <c r="J28" s="87">
        <f t="shared" ca="1" si="35"/>
        <v>1</v>
      </c>
      <c r="K28" s="96" t="s">
        <v>105</v>
      </c>
      <c r="L28" s="4">
        <f t="shared" ca="1" si="50"/>
        <v>0.06</v>
      </c>
      <c r="M28" s="4">
        <f t="shared" ca="1" si="51"/>
        <v>2.6857142857142861E-2</v>
      </c>
      <c r="N28" s="4">
        <f t="shared" ca="1" si="36"/>
        <v>0.10742857142857144</v>
      </c>
      <c r="O28" s="4">
        <f t="shared" ca="1" si="37"/>
        <v>5.3714285714285721E-2</v>
      </c>
      <c r="P28" s="4">
        <f t="shared" ca="1" si="38"/>
        <v>5.3714285714285721E-2</v>
      </c>
      <c r="Q28" s="4">
        <f t="shared" ca="1" si="39"/>
        <v>0.13428571428571429</v>
      </c>
      <c r="R28" s="4">
        <f t="shared" ca="1" si="40"/>
        <v>8.0571428571428585E-2</v>
      </c>
      <c r="S28" s="4">
        <f t="shared" ca="1" si="41"/>
        <v>0</v>
      </c>
      <c r="T28" s="4">
        <f t="shared" ca="1" si="42"/>
        <v>0.13428571428571429</v>
      </c>
      <c r="U28" s="71"/>
      <c r="V28" s="4">
        <f t="shared" ca="1" si="44"/>
        <v>0</v>
      </c>
      <c r="W28" s="4">
        <f t="shared" ca="1" si="45"/>
        <v>8.0571428571428585E-2</v>
      </c>
      <c r="X28" s="4">
        <f t="shared" ca="1" si="46"/>
        <v>5.3714285714285721E-2</v>
      </c>
      <c r="Y28" s="4">
        <f t="shared" ca="1" si="47"/>
        <v>8.0571428571428585E-2</v>
      </c>
      <c r="Z28" s="4">
        <f t="shared" ca="1" si="48"/>
        <v>0</v>
      </c>
      <c r="AA28" s="4">
        <f t="shared" ca="1" si="49"/>
        <v>5.3714285714285721E-2</v>
      </c>
      <c r="AB28" s="4">
        <f t="shared" ca="1" si="52"/>
        <v>8.0571428571428585E-2</v>
      </c>
      <c r="AD28" s="99" t="s">
        <v>105</v>
      </c>
      <c r="AE28" s="85"/>
      <c r="AF28" s="112">
        <f>Proposition!T$27+Proposition!T$28+Proposition!T$31+Proposition!T$39+Proposition!T$43</f>
        <v>3</v>
      </c>
      <c r="AG28" s="112">
        <f>Proposition!T$27+Proposition!T$28+Proposition!T$31+Proposition!T$34+Proposition!T$37</f>
        <v>6</v>
      </c>
      <c r="AH28" s="85">
        <f>Proposition!T$27+Proposition!T$29+Proposition!T$31+Proposition!T$43</f>
        <v>4</v>
      </c>
      <c r="AI28" s="85">
        <f>Proposition!T$27+Proposition!T$28+Proposition!T$31+Proposition!T$41</f>
        <v>4</v>
      </c>
      <c r="AJ28" s="85">
        <f>Proposition!T$27+Proposition!T$29+Proposition!T$31+Proposition!T$35</f>
        <v>7</v>
      </c>
      <c r="AK28" s="85">
        <f>Proposition!T$27+Proposition!T$29+Proposition!T$31</f>
        <v>5</v>
      </c>
      <c r="AL28" s="85">
        <f>Proposition!T$26</f>
        <v>2</v>
      </c>
      <c r="AM28" s="85">
        <f>Proposition!T$27+Proposition!T$29+Proposition!T$31+Proposition!T$35</f>
        <v>7</v>
      </c>
      <c r="AN28" s="85"/>
      <c r="AO28" s="85">
        <f>Proposition!T$27+Proposition!T$28+Proposition!T$31</f>
        <v>2</v>
      </c>
      <c r="AP28" s="85">
        <f>Proposition!T$27+Proposition!T$29+Proposition!T$31</f>
        <v>5</v>
      </c>
      <c r="AQ28" s="85">
        <f>Proposition!T$27+Proposition!T$28+Proposition!T$31+Proposition!T$34</f>
        <v>4</v>
      </c>
      <c r="AR28" s="85">
        <f>Proposition!T$27+Proposition!T$29+Proposition!T$31</f>
        <v>5</v>
      </c>
      <c r="AS28" s="85">
        <f>Proposition!T$26</f>
        <v>2</v>
      </c>
      <c r="AT28" s="85">
        <f>Proposition!T$27+Proposition!T$28+Proposition!T$31+Proposition!T$41</f>
        <v>4</v>
      </c>
      <c r="AU28" s="85">
        <f>Proposition!T$24+Proposition!T$29+Proposition!T$31+Proposition!T$35</f>
        <v>5</v>
      </c>
      <c r="AV28" s="86">
        <f ca="1">SUM(AF28-MIN(AF28:AU28),AG28-MIN(AF28:AU28),AH28-MIN(AF28:AU28),AI28-MIN(AF28:AU28),AJ28-MIN(AF28:AU28),AK28-MIN(AF28:AU28),AL28-MIN(AF28:AU28),AM28-MIN(AF28:AU28),AO28-MIN(AF28:AU28),AP28-MIN(AF28:AU28),AQ28-MIN(AF28:AU28),AR28-MIN(AF28:AU28),AS28-MIN(AF28:AU28),AT28-MIN(AF28:AU28),AU28-MIN(AF28:AU28))+((L28*SUM(AF28-MIN(AF28:AU28),AG28-MIN(AF28:AU28),AH28-MIN(AF28:AU28),AI28-MIN(AF28:AU28),AJ28-MIN(AF28:AU28),AK28-MIN(AF28:AU28),AL28-MIN(AF28:AU28),AM28-MIN(AF28:AU28),AO28-MIN(AF28:AU28),AP28-MIN(AF28:AU28),AQ28-MIN(AF28:AU28),AR28-MIN(AF28:AU28),AS28-MIN(AF28:AU28),AT28-MIN(AF28:AU28),AU28-MIN(AF28:AU28)))/(1-L28))</f>
        <v>37.234042553191486</v>
      </c>
    </row>
    <row r="29" spans="1:48" x14ac:dyDescent="0.25">
      <c r="J29" s="87">
        <f t="shared" ca="1" si="35"/>
        <v>0.99999999999999978</v>
      </c>
      <c r="K29" s="91" t="s">
        <v>114</v>
      </c>
      <c r="L29" s="4">
        <f t="shared" ca="1" si="50"/>
        <v>0.05</v>
      </c>
      <c r="M29" s="4">
        <f t="shared" ca="1" si="51"/>
        <v>0</v>
      </c>
      <c r="N29" s="4">
        <f t="shared" ca="1" si="36"/>
        <v>4.2222222222222217E-2</v>
      </c>
      <c r="O29" s="4">
        <f t="shared" ca="1" si="37"/>
        <v>6.3333333333333325E-2</v>
      </c>
      <c r="P29" s="4">
        <f t="shared" ca="1" si="38"/>
        <v>0</v>
      </c>
      <c r="Q29" s="4">
        <f t="shared" ca="1" si="39"/>
        <v>0.14777777777777776</v>
      </c>
      <c r="R29" s="4">
        <f t="shared" ca="1" si="40"/>
        <v>8.4444444444444433E-2</v>
      </c>
      <c r="S29" s="4">
        <f t="shared" ca="1" si="41"/>
        <v>6.3333333333333325E-2</v>
      </c>
      <c r="T29" s="4">
        <f t="shared" ca="1" si="42"/>
        <v>0.12666666666666665</v>
      </c>
      <c r="U29" s="4">
        <f t="shared" ca="1" si="43"/>
        <v>2.1111111111111108E-2</v>
      </c>
      <c r="V29" s="71"/>
      <c r="W29" s="4">
        <f t="shared" ca="1" si="45"/>
        <v>0.10555555555555554</v>
      </c>
      <c r="X29" s="4">
        <f t="shared" ca="1" si="46"/>
        <v>0</v>
      </c>
      <c r="Y29" s="4">
        <f t="shared" ca="1" si="47"/>
        <v>0.10555555555555554</v>
      </c>
      <c r="Z29" s="4">
        <f t="shared" ca="1" si="48"/>
        <v>4.2222222222222217E-2</v>
      </c>
      <c r="AA29" s="4">
        <f t="shared" ca="1" si="49"/>
        <v>2.1111111111111108E-2</v>
      </c>
      <c r="AB29" s="4">
        <f t="shared" ca="1" si="52"/>
        <v>0.12666666666666665</v>
      </c>
      <c r="AD29" s="99" t="s">
        <v>114</v>
      </c>
      <c r="AE29" s="85"/>
      <c r="AF29" s="112">
        <f>Proposition!T$24+Proposition!T$28+Proposition!T$31+Proposition!T$39+Proposition!T$43</f>
        <v>1</v>
      </c>
      <c r="AG29" s="112">
        <f>Proposition!T$24*2+Proposition!T$28+Proposition!T$31+Proposition!T$34+Proposition!T$37</f>
        <v>3</v>
      </c>
      <c r="AH29" s="85">
        <f>Proposition!T$27+Proposition!T$29+Proposition!T$31+Proposition!T$43</f>
        <v>4</v>
      </c>
      <c r="AI29" s="85">
        <f>Proposition!T$27+Proposition!T$28+Proposition!T$30+Proposition!T$41</f>
        <v>1</v>
      </c>
      <c r="AJ29" s="85">
        <f>Proposition!T$26+Proposition!T$29+Proposition!T$31+Proposition!T$35</f>
        <v>8</v>
      </c>
      <c r="AK29" s="85">
        <f>Proposition!T$24+Proposition!T$26+Proposition!T$29+Proposition!T$31</f>
        <v>5</v>
      </c>
      <c r="AL29" s="85">
        <f>Proposition!T$26+Proposition!T$31</f>
        <v>4</v>
      </c>
      <c r="AM29" s="85">
        <f>Proposition!T$27+Proposition!T$29+Proposition!T$31+Proposition!T$35</f>
        <v>7</v>
      </c>
      <c r="AN29" s="85">
        <f>Proposition!T$27+Proposition!T$28+Proposition!T$31</f>
        <v>2</v>
      </c>
      <c r="AO29" s="85"/>
      <c r="AP29" s="85">
        <f>Proposition!T$26+Proposition!T$29+Proposition!T$31</f>
        <v>6</v>
      </c>
      <c r="AQ29" s="85">
        <f>Proposition!T$24*2+Proposition!T$28+Proposition!T$31+Proposition!T$34</f>
        <v>1</v>
      </c>
      <c r="AR29" s="85">
        <f>Proposition!T$26+Proposition!T$29+Proposition!T$31</f>
        <v>6</v>
      </c>
      <c r="AS29" s="85">
        <f>Proposition!T$27+Proposition!T$31</f>
        <v>3</v>
      </c>
      <c r="AT29" s="85">
        <f>Proposition!T$24+Proposition!T$28+Proposition!T$31+Proposition!T$41</f>
        <v>2</v>
      </c>
      <c r="AU29" s="85">
        <f>Proposition!T$27+Proposition!T$29+Proposition!T$31+Proposition!T$35</f>
        <v>7</v>
      </c>
      <c r="AV29" s="86">
        <f ca="1">SUM(AF29-MIN(AF29:AU29),AG29-MIN(AF29:AU29),AH29-MIN(AF29:AU29),AI29-MIN(AF29:AU29),AJ29-MIN(AF29:AU29),AK29-MIN(AF29:AU29),AL29-MIN(AF29:AU29),AM29-MIN(AF29:AU29),AN29-MIN(AF29:AU29),AP29-MIN(AF29:AU29),AQ29-MIN(AF29:AU29),AR29-MIN(AF29:AU29),AS29-MIN(AF29:AU29),AT29-MIN(AF29:AU29),AU29-MIN(AF29:AU29))+((L29*SUM(AF29-MIN(AF29:AU29),AG29-MIN(AF29:AU29),AH29-MIN(AF29:AU29),AI29-MIN(AF29:AU29),AJ29-MIN(AF29:AU29),AK29-MIN(AF29:AU29),AL29-MIN(AF29:AU29),AM29-MIN(AF29:AU29),AN29-MIN(AF29:AU29),AP29-MIN(AF29:AU29),AQ29-MIN(AF29:AU29),AR29-MIN(AF29:AU29),AS29-MIN(AF29:AU29),AT29-MIN(AF29:AU29),AU29-MIN(AF29:AU29)))/(1-L29))</f>
        <v>47.368421052631582</v>
      </c>
    </row>
    <row r="30" spans="1:48" x14ac:dyDescent="0.25">
      <c r="J30" s="87">
        <f t="shared" ca="1" si="35"/>
        <v>1</v>
      </c>
      <c r="K30" s="93" t="s">
        <v>98</v>
      </c>
      <c r="L30" s="4">
        <f t="shared" ca="1" si="50"/>
        <v>0.06</v>
      </c>
      <c r="M30" s="4">
        <f t="shared" ca="1" si="51"/>
        <v>0.11463414634146342</v>
      </c>
      <c r="N30" s="4">
        <f t="shared" ca="1" si="36"/>
        <v>0.12609756097560976</v>
      </c>
      <c r="O30" s="4">
        <f t="shared" ca="1" si="37"/>
        <v>0</v>
      </c>
      <c r="P30" s="4">
        <f t="shared" ca="1" si="38"/>
        <v>0.10317073170731708</v>
      </c>
      <c r="Q30" s="4">
        <f t="shared" ca="1" si="39"/>
        <v>1.1463414634146341E-2</v>
      </c>
      <c r="R30" s="4">
        <f t="shared" ca="1" si="40"/>
        <v>4.5853658536585365E-2</v>
      </c>
      <c r="S30" s="4">
        <f t="shared" ca="1" si="41"/>
        <v>2.2926829268292682E-2</v>
      </c>
      <c r="T30" s="4">
        <f t="shared" ca="1" si="42"/>
        <v>4.5853658536585365E-2</v>
      </c>
      <c r="U30" s="4">
        <f t="shared" ca="1" si="43"/>
        <v>8.0243902439024392E-2</v>
      </c>
      <c r="V30" s="4">
        <f t="shared" ca="1" si="44"/>
        <v>9.170731707317073E-2</v>
      </c>
      <c r="W30" s="71"/>
      <c r="X30" s="4">
        <f t="shared" ca="1" si="46"/>
        <v>0.12609756097560976</v>
      </c>
      <c r="Y30" s="4">
        <f t="shared" ca="1" si="47"/>
        <v>3.4390243902439027E-2</v>
      </c>
      <c r="Z30" s="4">
        <f t="shared" ca="1" si="48"/>
        <v>3.4390243902439027E-2</v>
      </c>
      <c r="AA30" s="4">
        <f t="shared" ca="1" si="49"/>
        <v>0.10317073170731708</v>
      </c>
      <c r="AB30" s="4">
        <f t="shared" ca="1" si="52"/>
        <v>0</v>
      </c>
      <c r="AD30" s="99" t="s">
        <v>98</v>
      </c>
      <c r="AE30" s="85"/>
      <c r="AF30" s="112">
        <f>Proposition!T$27+Proposition!T$29+Proposition!T$31+Proposition!T$33+Proposition!T$39+Proposition!T$43</f>
        <v>8</v>
      </c>
      <c r="AG30" s="112">
        <f>Proposition!T$24+Proposition!T$29+Proposition!T$31+Proposition!T$33+Proposition!T$35+Proposition!T$37</f>
        <v>9</v>
      </c>
      <c r="AH30" s="85">
        <f>Proposition!T$24*2+Proposition!T$28+Proposition!T$31+Proposition!T$43</f>
        <v>-2</v>
      </c>
      <c r="AI30" s="85">
        <f>Proposition!T$27+Proposition!T$29+Proposition!T$31+Proposition!T$41</f>
        <v>7</v>
      </c>
      <c r="AJ30" s="85">
        <f>Proposition!T$24+Proposition!T$28+Proposition!T$30+Proposition!T$34</f>
        <v>-1</v>
      </c>
      <c r="AK30" s="85">
        <f>Proposition!T$27+Proposition!T$28+Proposition!T$31</f>
        <v>2</v>
      </c>
      <c r="AL30" s="85">
        <f>Proposition!T$24*2+Proposition!T$31</f>
        <v>0</v>
      </c>
      <c r="AM30" s="85">
        <f>Proposition!T$24+Proposition!T$28+Proposition!T$31+Proposition!T$34</f>
        <v>2</v>
      </c>
      <c r="AN30" s="85">
        <f>Proposition!T$27+Proposition!T$29+Proposition!T$31</f>
        <v>5</v>
      </c>
      <c r="AO30" s="85">
        <f>Proposition!T$26+Proposition!T$29+Proposition!T$31</f>
        <v>6</v>
      </c>
      <c r="AP30" s="85"/>
      <c r="AQ30" s="85">
        <f>Proposition!T$27+Proposition!T$29+Proposition!T$31+Proposition!T$33+Proposition!T$35</f>
        <v>9</v>
      </c>
      <c r="AR30" s="85">
        <f>Proposition!T$28+Proposition!T$31</f>
        <v>1</v>
      </c>
      <c r="AS30" s="85">
        <f>Proposition!T$24+Proposition!T$31</f>
        <v>1</v>
      </c>
      <c r="AT30" s="85">
        <f>Proposition!T$27+Proposition!T$29+Proposition!T$31+Proposition!T$41</f>
        <v>7</v>
      </c>
      <c r="AU30" s="85">
        <f>Proposition!T$24*2+Proposition!T$28+Proposition!T$30+Proposition!T$34</f>
        <v>-2</v>
      </c>
      <c r="AV30" s="86">
        <f ca="1">SUM(AF30-MIN(AF30:AU30),AG30-MIN(AF30:AU30),AH30-MIN(AF30:AU30),AI30-MIN(AF30:AU30),AJ30-MIN(AF30:AU30),AK30-MIN(AF30:AU30),AL30-MIN(AF30:AU30),AM30-MIN(AF30:AU30),AN30-MIN(AF30:AU30),AO30-MIN(AF30:AU30),AQ30-MIN(AF30:AU30),AR30-MIN(AF30:AU30),AS30-MIN(AF30:AU30),AT30-MIN(AF30:AU30),AU30-MIN(AF30:AU30))+((L30*SUM(AF30-MIN(AF30:AU30),AG30-MIN(AF30:AU30),AH30-MIN(AF30:AU30),AI30-MIN(AF30:AU30),AJ30-MIN(AF30:AU30),AK30-MIN(AF30:AU30),AL30-MIN(AF30:AU30),AM30-MIN(AF30:AU30),AN30-MIN(AF30:AU30),AO30-MIN(AF30:AU30),AQ30-MIN(AF30:AU30),AR30-MIN(AF30:AU30),AS30-MIN(AF30:AU30),AT30-MIN(AF30:AU30),AU30-MIN(AF30:AU30)))/(1-L30))</f>
        <v>87.234042553191486</v>
      </c>
    </row>
    <row r="31" spans="1:48" x14ac:dyDescent="0.25">
      <c r="J31" s="87">
        <f t="shared" ca="1" si="35"/>
        <v>1</v>
      </c>
      <c r="K31" s="92" t="s">
        <v>117</v>
      </c>
      <c r="L31" s="4">
        <f t="shared" ca="1" si="50"/>
        <v>0.09</v>
      </c>
      <c r="M31" s="4">
        <f t="shared" ca="1" si="51"/>
        <v>6.658536585365854E-2</v>
      </c>
      <c r="N31" s="4">
        <f t="shared" ca="1" si="36"/>
        <v>2.2195121951219515E-2</v>
      </c>
      <c r="O31" s="4">
        <f t="shared" ca="1" si="37"/>
        <v>7.7682926829268292E-2</v>
      </c>
      <c r="P31" s="4">
        <f t="shared" ca="1" si="38"/>
        <v>5.5487804878048788E-2</v>
      </c>
      <c r="Q31" s="4">
        <f t="shared" ca="1" si="39"/>
        <v>9.987804878048781E-2</v>
      </c>
      <c r="R31" s="4">
        <f t="shared" ca="1" si="40"/>
        <v>8.8780487804878058E-2</v>
      </c>
      <c r="S31" s="4">
        <f t="shared" ca="1" si="41"/>
        <v>4.4390243902439029E-2</v>
      </c>
      <c r="T31" s="4">
        <f t="shared" ca="1" si="42"/>
        <v>8.8780487804878058E-2</v>
      </c>
      <c r="U31" s="4">
        <f t="shared" ca="1" si="43"/>
        <v>5.5487804878048788E-2</v>
      </c>
      <c r="V31" s="4">
        <f t="shared" ca="1" si="44"/>
        <v>0</v>
      </c>
      <c r="W31" s="4">
        <f t="shared" ca="1" si="45"/>
        <v>6.658536585365854E-2</v>
      </c>
      <c r="X31" s="71"/>
      <c r="Y31" s="4">
        <f t="shared" ca="1" si="47"/>
        <v>7.7682926829268292E-2</v>
      </c>
      <c r="Z31" s="4">
        <f t="shared" ca="1" si="48"/>
        <v>4.4390243902439029E-2</v>
      </c>
      <c r="AA31" s="4">
        <f t="shared" ca="1" si="49"/>
        <v>3.329268292682927E-2</v>
      </c>
      <c r="AB31" s="4">
        <f t="shared" ca="1" si="52"/>
        <v>8.8780487804878058E-2</v>
      </c>
      <c r="AD31" s="99" t="s">
        <v>117</v>
      </c>
      <c r="AE31" s="85"/>
      <c r="AF31" s="112">
        <f>Proposition!T$27+Proposition!T$28+Proposition!T$31+Proposition!T$33+Proposition!T$39+Proposition!T$43</f>
        <v>5</v>
      </c>
      <c r="AG31" s="112">
        <f>Proposition!T$24+Proposition!T$28+Proposition!T$30+Proposition!T$36+Proposition!T$37</f>
        <v>1</v>
      </c>
      <c r="AH31" s="85">
        <f>Proposition!T$27+Proposition!T$29+Proposition!T$31+Proposition!T$33+Proposition!T$43</f>
        <v>6</v>
      </c>
      <c r="AI31" s="85">
        <f>Proposition!T$27+Proposition!T$28+Proposition!T$31+Proposition!T$41</f>
        <v>4</v>
      </c>
      <c r="AJ31" s="85">
        <f>Proposition!T$26+Proposition!T$29+Proposition!T$31+Proposition!T$36</f>
        <v>8</v>
      </c>
      <c r="AK31" s="85">
        <f>Proposition!T$27+Proposition!T$29+Proposition!T$31+Proposition!T$33</f>
        <v>7</v>
      </c>
      <c r="AL31" s="85">
        <f>Proposition!T$27+Proposition!T$31</f>
        <v>3</v>
      </c>
      <c r="AM31" s="85">
        <f>Proposition!T$27+Proposition!T$29+Proposition!T$31+Proposition!T$36</f>
        <v>7</v>
      </c>
      <c r="AN31" s="85">
        <f>Proposition!T$27+Proposition!T$28+Proposition!T$31+Proposition!T$33</f>
        <v>4</v>
      </c>
      <c r="AO31" s="85">
        <f>Proposition!T$24*2+Proposition!T$28+Proposition!T$31</f>
        <v>-1</v>
      </c>
      <c r="AP31" s="85">
        <f>Proposition!T$27+Proposition!T$29+Proposition!T$31</f>
        <v>5</v>
      </c>
      <c r="AQ31" s="85"/>
      <c r="AR31" s="85">
        <f>Proposition!T$26+Proposition!T$29+Proposition!T$31</f>
        <v>6</v>
      </c>
      <c r="AS31" s="85">
        <f>Proposition!T$27+Proposition!T$31</f>
        <v>3</v>
      </c>
      <c r="AT31" s="85">
        <f>Proposition!T$24+Proposition!T$28+Proposition!T$31+Proposition!T$41</f>
        <v>2</v>
      </c>
      <c r="AU31" s="85">
        <f>Proposition!T$27+Proposition!T$29+Proposition!T$31+Proposition!T$36</f>
        <v>7</v>
      </c>
      <c r="AV31" s="86">
        <f ca="1">SUM(AF31-MIN(AF31:AU31),AG31-MIN(AF31:AU31),AH31-MIN(AF31:AU31),AI31-MIN(AF31:AU31),AJ31-MIN(AF31:AU31),AK31-MIN(AF31:AU31),AL31-MIN(AF31:AU31),AM31-MIN(AF31:AU31),AN31-MIN(AF31:AU31),AO31-MIN(AF31:AU31),AP31-MIN(AF31:AU31),AR31-MIN(AF31:AU31),AS31-MIN(AF31:AU31),AT31-MIN(AF31:AU31),AU31-MIN(AF31:AU31))+((L31*SUM(AF31-MIN(AF31:AU31),AG31-MIN(AF31:AU31),AH31-MIN(AF31:AU31),AI31-MIN(AF31:AU31),AJ31-MIN(AF31:AU31),AK31-MIN(AF31:AU31),AL31-MIN(AF31:AU31),AM31-MIN(AF31:AU31),AN31-MIN(AF31:AU31),AO31-MIN(AF31:AU31),AP31-MIN(AF31:AU31),AR31-MIN(AF31:AU31),AS31-MIN(AF31:AU31),AT31-MIN(AF31:AU31),AU31-MIN(AF31:AU31)))/(1-L31))</f>
        <v>90.109890109890102</v>
      </c>
    </row>
    <row r="32" spans="1:48" x14ac:dyDescent="0.25">
      <c r="J32" s="87">
        <f t="shared" ca="1" si="35"/>
        <v>0.99999999999999989</v>
      </c>
      <c r="K32" s="93" t="s">
        <v>119</v>
      </c>
      <c r="L32" s="4">
        <f t="shared" ca="1" si="50"/>
        <v>0.1</v>
      </c>
      <c r="M32" s="4">
        <f t="shared" ca="1" si="51"/>
        <v>8.4705882352941173E-2</v>
      </c>
      <c r="N32" s="4">
        <f t="shared" ca="1" si="36"/>
        <v>0.11647058823529412</v>
      </c>
      <c r="O32" s="4">
        <f t="shared" ca="1" si="37"/>
        <v>0</v>
      </c>
      <c r="P32" s="4">
        <f t="shared" ca="1" si="38"/>
        <v>9.5294117647058821E-2</v>
      </c>
      <c r="Q32" s="4">
        <f t="shared" ca="1" si="39"/>
        <v>4.2352941176470586E-2</v>
      </c>
      <c r="R32" s="4">
        <f t="shared" ca="1" si="40"/>
        <v>4.2352941176470586E-2</v>
      </c>
      <c r="S32" s="4">
        <f t="shared" ca="1" si="41"/>
        <v>2.1176470588235293E-2</v>
      </c>
      <c r="T32" s="4">
        <f t="shared" ca="1" si="42"/>
        <v>4.2352941176470586E-2</v>
      </c>
      <c r="U32" s="4">
        <f t="shared" ca="1" si="43"/>
        <v>7.4117647058823524E-2</v>
      </c>
      <c r="V32" s="4">
        <f t="shared" ca="1" si="44"/>
        <v>8.4705882352941173E-2</v>
      </c>
      <c r="W32" s="4">
        <f t="shared" ca="1" si="45"/>
        <v>2.1176470588235293E-2</v>
      </c>
      <c r="X32" s="4">
        <f t="shared" ca="1" si="46"/>
        <v>0.10588235294117647</v>
      </c>
      <c r="Y32" s="71"/>
      <c r="Z32" s="4">
        <f t="shared" ca="1" si="48"/>
        <v>3.1764705882352945E-2</v>
      </c>
      <c r="AA32" s="4">
        <f t="shared" ca="1" si="49"/>
        <v>9.5294117647058821E-2</v>
      </c>
      <c r="AB32" s="4">
        <f t="shared" ca="1" si="52"/>
        <v>4.2352941176470586E-2</v>
      </c>
      <c r="AD32" s="99" t="s">
        <v>119</v>
      </c>
      <c r="AE32" s="85"/>
      <c r="AF32" s="112">
        <f>Proposition!T$27+Proposition!T$29+Proposition!T$31+Proposition!T$39+Proposition!T$43</f>
        <v>6</v>
      </c>
      <c r="AG32" s="112">
        <f>Proposition!T$24+Proposition!T$26+Proposition!T$29+Proposition!T$31+Proposition!T$35+Proposition!T$37</f>
        <v>9</v>
      </c>
      <c r="AH32" s="85">
        <f>Proposition!T$24*2+Proposition!T$28+Proposition!T$31+Proposition!T$43</f>
        <v>-2</v>
      </c>
      <c r="AI32" s="85">
        <f>Proposition!T$27+Proposition!T$29+Proposition!T$31+Proposition!T$41</f>
        <v>7</v>
      </c>
      <c r="AJ32" s="85">
        <f>Proposition!T$24+Proposition!T$28+Proposition!T$31+Proposition!T$34</f>
        <v>2</v>
      </c>
      <c r="AK32" s="85">
        <f>Proposition!T$27+Proposition!T$28+Proposition!T$31</f>
        <v>2</v>
      </c>
      <c r="AL32" s="85">
        <f>Proposition!T$24*2+Proposition!T$31</f>
        <v>0</v>
      </c>
      <c r="AM32" s="85">
        <f>Proposition!T$24+Proposition!T$28+Proposition!T$31+Proposition!T$34</f>
        <v>2</v>
      </c>
      <c r="AN32" s="85">
        <f>Proposition!T$27+Proposition!T$29+Proposition!T$31</f>
        <v>5</v>
      </c>
      <c r="AO32" s="85">
        <f>Proposition!T$26+Proposition!T$29+Proposition!T$31</f>
        <v>6</v>
      </c>
      <c r="AP32" s="85">
        <f>Proposition!T$24+Proposition!T$28+Proposition!T$31</f>
        <v>0</v>
      </c>
      <c r="AQ32" s="85">
        <f>Proposition!T$26+Proposition!T$29+Proposition!T$31+Proposition!T$35</f>
        <v>8</v>
      </c>
      <c r="AR32" s="85"/>
      <c r="AS32" s="85">
        <f>Proposition!T$24+Proposition!T$31</f>
        <v>1</v>
      </c>
      <c r="AT32" s="85">
        <f>Proposition!T$27+Proposition!T$29+Proposition!T$31+Proposition!T$41</f>
        <v>7</v>
      </c>
      <c r="AU32" s="85">
        <f>Proposition!T$24+Proposition!T$28+Proposition!T$31+Proposition!T$34</f>
        <v>2</v>
      </c>
      <c r="AV32" s="86">
        <f ca="1">SUM(AF32-MIN(AF32:AU32),AG32-MIN(AF32:AU32),AH32-MIN(AF32:AU32),AI32-MIN(AF32:AU32),AJ32-MIN(AF32:AU32),AK32-MIN(AF32:AU32),AL32-MIN(AF32:AU32),AM32-MIN(AF32:AU32),AN32-MIN(AF32:AU32),AO32-MIN(AF32:AU32),AP32-MIN(AF32:AU32),AQ32-MIN(AF32:AU32),AS32-MIN(AF32:AU32),AT32-MIN(AF32:AU32),AU32-MIN(AF32:AU32))+((L32*SUM(AF32-MIN(AF32:AU32),AG32-MIN(AF32:AU32),AH32-MIN(AF32:AU32),AI32-MIN(AF32:AU32),AJ32-MIN(AF32:AU32),AK32-MIN(AF32:AU32),AL32-MIN(AF32:AU32),AM32-MIN(AF32:AU32),AN32-MIN(AF32:AU32),AO32-MIN(AF32:AU32),AP32-MIN(AF32:AU32),AQ32-MIN(AF32:AU32),AS32-MIN(AF32:AU32),AT32-MIN(AF32:AU32),AU32-MIN(AF32:AU32)))/(1-L32))</f>
        <v>94.444444444444443</v>
      </c>
    </row>
    <row r="33" spans="10:48" x14ac:dyDescent="0.25">
      <c r="J33" s="87">
        <f t="shared" ca="1" si="35"/>
        <v>1</v>
      </c>
      <c r="K33" s="94" t="s">
        <v>121</v>
      </c>
      <c r="L33" s="4">
        <f t="shared" ca="1" si="50"/>
        <v>0.06</v>
      </c>
      <c r="M33" s="4">
        <f t="shared" ca="1" si="51"/>
        <v>7.5200000000000003E-2</v>
      </c>
      <c r="N33" s="4">
        <f t="shared" ca="1" si="36"/>
        <v>8.4600000000000009E-2</v>
      </c>
      <c r="O33" s="4">
        <f t="shared" ca="1" si="37"/>
        <v>3.7600000000000001E-2</v>
      </c>
      <c r="P33" s="4">
        <f t="shared" ca="1" si="38"/>
        <v>8.4600000000000009E-2</v>
      </c>
      <c r="Q33" s="4">
        <f t="shared" ca="1" si="39"/>
        <v>6.5799999999999997E-2</v>
      </c>
      <c r="R33" s="4">
        <f t="shared" ca="1" si="40"/>
        <v>4.7E-2</v>
      </c>
      <c r="S33" s="4">
        <f t="shared" ca="1" si="41"/>
        <v>0</v>
      </c>
      <c r="T33" s="4">
        <f t="shared" ca="1" si="42"/>
        <v>8.4600000000000009E-2</v>
      </c>
      <c r="U33" s="4">
        <f t="shared" ca="1" si="43"/>
        <v>5.6400000000000006E-2</v>
      </c>
      <c r="V33" s="4">
        <f t="shared" ca="1" si="44"/>
        <v>6.5799999999999997E-2</v>
      </c>
      <c r="W33" s="4">
        <f t="shared" ca="1" si="45"/>
        <v>4.7E-2</v>
      </c>
      <c r="X33" s="4">
        <f t="shared" ca="1" si="46"/>
        <v>6.5799999999999997E-2</v>
      </c>
      <c r="Y33" s="4">
        <f t="shared" ca="1" si="47"/>
        <v>4.7E-2</v>
      </c>
      <c r="Z33" s="71"/>
      <c r="AA33" s="4">
        <f t="shared" ca="1" si="49"/>
        <v>9.4E-2</v>
      </c>
      <c r="AB33" s="4">
        <f t="shared" ca="1" si="52"/>
        <v>8.4600000000000009E-2</v>
      </c>
      <c r="AD33" s="99" t="s">
        <v>121</v>
      </c>
      <c r="AE33" s="85"/>
      <c r="AF33" s="112">
        <f>Proposition!T$27+Proposition!T$31+Proposition!T$39+Proposition!T$43</f>
        <v>4</v>
      </c>
      <c r="AG33" s="112">
        <f>Proposition!T$24+Proposition!T$26+Proposition!T$31+Proposition!T$37</f>
        <v>5</v>
      </c>
      <c r="AH33" s="85">
        <f>Proposition!T$24+Proposition!T$31+Proposition!T$43</f>
        <v>0</v>
      </c>
      <c r="AI33" s="85">
        <f>Proposition!T$27+Proposition!T$31+Proposition!T$41</f>
        <v>5</v>
      </c>
      <c r="AJ33" s="85">
        <f>Proposition!T$24+Proposition!T$31+Proposition!T$35</f>
        <v>3</v>
      </c>
      <c r="AK33" s="85">
        <f>Proposition!T$24+Proposition!T$31</f>
        <v>1</v>
      </c>
      <c r="AL33" s="85">
        <f>Proposition!T$24*3+Proposition!T$28</f>
        <v>-4</v>
      </c>
      <c r="AM33" s="85">
        <f>Proposition!T$24+Proposition!T$26+Proposition!T$31+Proposition!T$35</f>
        <v>5</v>
      </c>
      <c r="AN33" s="85">
        <f>Proposition!T$26</f>
        <v>2</v>
      </c>
      <c r="AO33" s="85">
        <f>Proposition!T$27+Proposition!T$31</f>
        <v>3</v>
      </c>
      <c r="AP33" s="85">
        <f>Proposition!T$24+Proposition!T$31</f>
        <v>1</v>
      </c>
      <c r="AQ33" s="85">
        <f>Proposition!T$27+Proposition!T$31</f>
        <v>3</v>
      </c>
      <c r="AR33" s="85">
        <f>Proposition!T$24+Proposition!T$31</f>
        <v>1</v>
      </c>
      <c r="AS33" s="85"/>
      <c r="AT33" s="85">
        <f>Proposition!T$26+Proposition!T$31+Proposition!T$41</f>
        <v>6</v>
      </c>
      <c r="AU33" s="85">
        <f>Proposition!T$27+Proposition!T$31+Proposition!T$35</f>
        <v>5</v>
      </c>
      <c r="AV33" s="86">
        <f ca="1">SUM(AF33-MIN(AF33:AU33),AG33-MIN(AF33:AU33),AH33-MIN(AF33:AU33),AI33-MIN(AF33:AU33),AJ33-MIN(AF33:AU33),AK33-MIN(AF33:AU33),AL33-MIN(AF33:AU33),AM33-MIN(AF33:AU33),AN33-MIN(AF33:AU33),AO33-MIN(AF33:AU33),AP33-MIN(AF33:AU33),AQ33-MIN(AF33:AU33),AR33-MIN(AF33:AU33),AT33-MIN(AF33:AU33),AU33-MIN(AF33:AU33))+((L33*SUM(AF33-MIN(AF33:AU33),AG33-MIN(AF33:AU33),AH33-MIN(AF33:AU33),AI33-MIN(AF33:AU33),AJ33-MIN(AF33:AU33),AK33-MIN(AF33:AU33),AL33-MIN(AF33:AU33),AM33-MIN(AF33:AU33),AN33-MIN(AF33:AU33),AO33-MIN(AF33:AU33),AP33-MIN(AF33:AU33),AQ33-MIN(AF33:AU33),AR33-MIN(AF33:AU33),AT33-MIN(AF33:AU33),AU33-MIN(AF33:AU33)))/(1-L33))</f>
        <v>106.38297872340425</v>
      </c>
    </row>
    <row r="34" spans="10:48" x14ac:dyDescent="0.25">
      <c r="J34" s="87">
        <f t="shared" ca="1" si="35"/>
        <v>1</v>
      </c>
      <c r="K34" s="96" t="s">
        <v>123</v>
      </c>
      <c r="L34" s="4">
        <f t="shared" ca="1" si="50"/>
        <v>0.06</v>
      </c>
      <c r="M34" s="4">
        <f t="shared" ca="1" si="51"/>
        <v>0</v>
      </c>
      <c r="N34" s="4">
        <f t="shared" ca="1" si="36"/>
        <v>6.6352941176470587E-2</v>
      </c>
      <c r="O34" s="4">
        <f t="shared" ca="1" si="37"/>
        <v>8.847058823529412E-2</v>
      </c>
      <c r="P34" s="4">
        <f t="shared" ca="1" si="38"/>
        <v>6.6352941176470587E-2</v>
      </c>
      <c r="Q34" s="4">
        <f t="shared" ca="1" si="39"/>
        <v>9.9529411764705894E-2</v>
      </c>
      <c r="R34" s="4">
        <f t="shared" ca="1" si="40"/>
        <v>5.5294117647058827E-2</v>
      </c>
      <c r="S34" s="4">
        <f t="shared" ca="1" si="41"/>
        <v>7.741176470588236E-2</v>
      </c>
      <c r="T34" s="4">
        <f t="shared" ca="1" si="42"/>
        <v>9.9529411764705894E-2</v>
      </c>
      <c r="U34" s="4">
        <f t="shared" ca="1" si="43"/>
        <v>4.423529411764706E-2</v>
      </c>
      <c r="V34" s="4">
        <f t="shared" ca="1" si="44"/>
        <v>2.211764705882353E-2</v>
      </c>
      <c r="W34" s="4">
        <f t="shared" ca="1" si="45"/>
        <v>7.741176470588236E-2</v>
      </c>
      <c r="X34" s="4">
        <f t="shared" ca="1" si="46"/>
        <v>4.423529411764706E-2</v>
      </c>
      <c r="Y34" s="4">
        <f t="shared" ca="1" si="47"/>
        <v>5.5294117647058827E-2</v>
      </c>
      <c r="Z34" s="4">
        <f t="shared" ca="1" si="48"/>
        <v>6.6352941176470587E-2</v>
      </c>
      <c r="AA34" s="71"/>
      <c r="AB34" s="4">
        <f ca="1">(AU34-MIN($AF34:$AU34))/$AV34</f>
        <v>7.741176470588236E-2</v>
      </c>
      <c r="AD34" s="99" t="s">
        <v>123</v>
      </c>
      <c r="AE34" s="85"/>
      <c r="AF34" s="112">
        <f>Proposition!T$24+Proposition!T$28+Proposition!T$30+Proposition!T$39+Proposition!T$43</f>
        <v>-2</v>
      </c>
      <c r="AG34" s="112">
        <f>Proposition!T$24+Proposition!T$28+Proposition!T$31+Proposition!T$34+Proposition!T$37</f>
        <v>4</v>
      </c>
      <c r="AH34" s="85">
        <f>Proposition!T$27+Proposition!T$29+Proposition!T$31+Proposition!T$33+Proposition!T$43</f>
        <v>6</v>
      </c>
      <c r="AI34" s="85">
        <f>Proposition!T$27+Proposition!T$28+Proposition!T$31+Proposition!T$41</f>
        <v>4</v>
      </c>
      <c r="AJ34" s="85">
        <f>Proposition!T$27+Proposition!T$29+Proposition!T$31+Proposition!T$35</f>
        <v>7</v>
      </c>
      <c r="AK34" s="85">
        <f>Proposition!T$24+Proposition!T$29+Proposition!T$31</f>
        <v>3</v>
      </c>
      <c r="AL34" s="85">
        <f>Proposition!T$24+Proposition!T$26*2+Proposition!T$31</f>
        <v>5</v>
      </c>
      <c r="AM34" s="85">
        <f>Proposition!T$27+Proposition!T$29+Proposition!T$31+Proposition!T$35</f>
        <v>7</v>
      </c>
      <c r="AN34" s="85">
        <f>Proposition!T$27+Proposition!T$28+Proposition!T$31</f>
        <v>2</v>
      </c>
      <c r="AO34" s="85">
        <f>Proposition!T$24+Proposition!T$28+Proposition!T$31</f>
        <v>0</v>
      </c>
      <c r="AP34" s="85">
        <f>Proposition!T$27+Proposition!T$29+Proposition!T$31</f>
        <v>5</v>
      </c>
      <c r="AQ34" s="85">
        <f>Proposition!T$24+Proposition!T$28+Proposition!T$31+Proposition!T$34</f>
        <v>2</v>
      </c>
      <c r="AR34" s="85">
        <f>Proposition!T$27+Proposition!T$29</f>
        <v>3</v>
      </c>
      <c r="AS34" s="85">
        <f>Proposition!T$26+Proposition!T$31</f>
        <v>4</v>
      </c>
      <c r="AT34" s="85"/>
      <c r="AU34" s="85">
        <f>Proposition!T$24+Proposition!T$29+Proposition!T$31+Proposition!T$35</f>
        <v>5</v>
      </c>
      <c r="AV34" s="86">
        <f ca="1">SUM(AF34-MIN(AF34:AU34),AG34-MIN(AF34:AU34),AH34-MIN(AF34:AU34),AI34-MIN(AF34:AU34),AJ34-MIN(AF34:AU34),AK34-MIN(AF34:AU34),AL34-MIN(AF34:AU34),AM34-MIN(AF34:AU34),AN34-MIN(AF34:AU34),AO34-MIN(AF34:AU34),AP34-MIN(AF34:AU34),AQ34-MIN(AF34:AU34),AR34-MIN(AF34:AU34),AS34-MIN(AF34:AU34),AU34-MIN(AF34:AU34))+((L34*SUM(AF34-MIN(AF34:AU34),AG34-MIN(AF34:AU34),AH34-MIN(AF34:AU34),AI34-MIN(AF34:AU34),AJ34-MIN(AF34:AU34),AK34-MIN(AF34:AU34),AL34-MIN(AF34:AU34),AM34-MIN(AF34:AU34),AN34-MIN(AF34:AU34),AO34-MIN(AF34:AU34),AP34-MIN(AF34:AU34),AQ34-MIN(AF34:AU34),AR34-MIN(AF34:AU34),AS34-MIN(AF34:AU34),AU34-MIN(AF34:AU34)))/(1-L34))</f>
        <v>90.425531914893611</v>
      </c>
    </row>
    <row r="35" spans="10:48" x14ac:dyDescent="0.25">
      <c r="J35" s="87">
        <f t="shared" ca="1" si="17"/>
        <v>0.99999999999999989</v>
      </c>
      <c r="K35" s="93" t="s">
        <v>107</v>
      </c>
      <c r="L35" s="4">
        <f t="shared" ca="1" si="50"/>
        <v>0.05</v>
      </c>
      <c r="M35" s="4">
        <f t="shared" ca="1" si="51"/>
        <v>0.11176470588235295</v>
      </c>
      <c r="N35" s="4">
        <f t="shared" ca="1" si="36"/>
        <v>0.10245098039215686</v>
      </c>
      <c r="O35" s="4">
        <f t="shared" ca="1" si="37"/>
        <v>4.6568627450980393E-2</v>
      </c>
      <c r="P35" s="4">
        <f t="shared" ca="1" si="38"/>
        <v>0.10245098039215686</v>
      </c>
      <c r="Q35" s="4">
        <f t="shared" ca="1" si="39"/>
        <v>2.7941176470588237E-2</v>
      </c>
      <c r="R35" s="4">
        <f t="shared" ca="1" si="40"/>
        <v>3.7254901960784313E-2</v>
      </c>
      <c r="S35" s="4">
        <f t="shared" ca="1" si="41"/>
        <v>4.6568627450980393E-2</v>
      </c>
      <c r="T35" s="4">
        <f t="shared" ca="1" si="42"/>
        <v>5.5882352941176473E-2</v>
      </c>
      <c r="U35" s="4">
        <f t="shared" ca="1" si="43"/>
        <v>6.5196078431372553E-2</v>
      </c>
      <c r="V35" s="4">
        <f t="shared" ca="1" si="44"/>
        <v>8.3823529411764713E-2</v>
      </c>
      <c r="W35" s="4">
        <f t="shared" ca="1" si="45"/>
        <v>0</v>
      </c>
      <c r="X35" s="4">
        <f t="shared" ca="1" si="46"/>
        <v>0.10245098039215686</v>
      </c>
      <c r="Y35" s="4">
        <f t="shared" ca="1" si="47"/>
        <v>3.7254901960784313E-2</v>
      </c>
      <c r="Z35" s="4">
        <f t="shared" ca="1" si="48"/>
        <v>4.6568627450980393E-2</v>
      </c>
      <c r="AA35" s="4">
        <f t="shared" ref="AA35" ca="1" si="53">(AT35-MIN($AF35:$AU35))/$AV35</f>
        <v>8.3823529411764713E-2</v>
      </c>
      <c r="AB35" s="71"/>
      <c r="AD35" s="99" t="s">
        <v>107</v>
      </c>
      <c r="AE35" s="85"/>
      <c r="AF35" s="112">
        <f>Proposition!T$27+Proposition!T$29+Proposition!T$31+Proposition!T$33+Proposition!T$39+Proposition!T$43</f>
        <v>8</v>
      </c>
      <c r="AG35" s="112">
        <f>Proposition!T$24+Proposition!T$29+Proposition!T$31+Proposition!T$36+Proposition!T$37</f>
        <v>7</v>
      </c>
      <c r="AH35" s="85">
        <f>Proposition!T$24+Proposition!T$28+Proposition!T$31+Proposition!T$33+Proposition!T$43</f>
        <v>1</v>
      </c>
      <c r="AI35" s="85">
        <f>Proposition!T$27+Proposition!T$29+Proposition!T$31+Proposition!T$41</f>
        <v>7</v>
      </c>
      <c r="AJ35" s="85">
        <f>Proposition!T$24+Proposition!T$28+Proposition!T$30+Proposition!T$36</f>
        <v>-1</v>
      </c>
      <c r="AK35" s="85">
        <f>Proposition!T$24+Proposition!T$28+Proposition!T$31</f>
        <v>0</v>
      </c>
      <c r="AL35" s="85">
        <f>Proposition!T$24+Proposition!T$31</f>
        <v>1</v>
      </c>
      <c r="AM35" s="85">
        <f>Proposition!T$24+Proposition!T$28+Proposition!T$31+Proposition!T$36</f>
        <v>2</v>
      </c>
      <c r="AN35" s="85">
        <f>Proposition!T$24+Proposition!T$29+Proposition!T$31</f>
        <v>3</v>
      </c>
      <c r="AO35" s="85">
        <f>Proposition!T$27+Proposition!T$29+Proposition!T$31</f>
        <v>5</v>
      </c>
      <c r="AP35" s="85">
        <f>Proposition!T$24*2+Proposition!T$28+Proposition!T$30</f>
        <v>-4</v>
      </c>
      <c r="AQ35" s="85">
        <f>Proposition!T$27+Proposition!T$29+Proposition!T$31+Proposition!T$36</f>
        <v>7</v>
      </c>
      <c r="AR35" s="85">
        <f>Proposition!T$24+Proposition!T$28+Proposition!T$31</f>
        <v>0</v>
      </c>
      <c r="AS35" s="85">
        <f>Proposition!T$24+Proposition!T$31</f>
        <v>1</v>
      </c>
      <c r="AT35" s="85">
        <f>Proposition!T$24+Proposition!T$29+Proposition!T$31+Proposition!T$41</f>
        <v>5</v>
      </c>
      <c r="AU35" s="85"/>
      <c r="AV35" s="86">
        <f ca="1">SUM(AF35-MIN(AF35:AU35),AG35-MIN(AF35:AU35),AH35-MIN(AF35:AU35),AI35-MIN(AF35:AU35),AJ35-MIN(AF35:AU35),AK35-MIN(AF35:AU35),AL35-MIN(AF35:AU35),AM35-MIN(AF35:AU35),AN35-MIN(AF35:AU35),AO35-MIN(AF35:AU35),AP35-MIN(AF35:AU35),AQ35-MIN(AF35:AU35),AR35-MIN(AF35:AU35),AS35-MIN(AF35:AU35),AT35-MIN(AF35:AU35))+((L35*SUM(AF35-MIN(AF35:AU35),AG35-MIN(AF35:AU35),AH35-MIN(AF35:AU35),AI35-MIN(AF35:AU35),AJ35-MIN(AF35:AU35),AK35-MIN(AF35:AU35),AL35-MIN(AF35:AU35),AM35-MIN(AF35:AU35),AN35-MIN(AF35:AU35),AO35-MIN(AF35:AU35),AP35-MIN(AF35:AU35),AQ35-MIN(AF35:AU35),AR35-MIN(AF35:AU35),AS35-MIN(AF35:AU35),AT35-MIN(AF35:AU35)))/(1-L35))</f>
        <v>107.36842105263158</v>
      </c>
    </row>
    <row r="36" spans="10:48" x14ac:dyDescent="0.25">
      <c r="J36" s="87">
        <f t="shared" ca="1" si="17"/>
        <v>0.42000000000000004</v>
      </c>
      <c r="K36" s="98" t="s">
        <v>134</v>
      </c>
      <c r="L36" s="97"/>
      <c r="M36" s="4">
        <f ca="1">RANDBETWEEN(0,5)/100</f>
        <v>0.03</v>
      </c>
      <c r="N36" s="4">
        <f t="shared" ref="N36:AB36" ca="1" si="54">RANDBETWEEN(0,5)/100</f>
        <v>0.03</v>
      </c>
      <c r="O36" s="4">
        <f t="shared" ca="1" si="54"/>
        <v>0.04</v>
      </c>
      <c r="P36" s="4">
        <f t="shared" ca="1" si="54"/>
        <v>0.01</v>
      </c>
      <c r="Q36" s="4">
        <f t="shared" ca="1" si="54"/>
        <v>0.05</v>
      </c>
      <c r="R36" s="4">
        <f t="shared" ca="1" si="54"/>
        <v>0</v>
      </c>
      <c r="S36" s="4">
        <f t="shared" ca="1" si="54"/>
        <v>0.05</v>
      </c>
      <c r="T36" s="4">
        <f t="shared" ca="1" si="54"/>
        <v>0.05</v>
      </c>
      <c r="U36" s="4">
        <f t="shared" ca="1" si="54"/>
        <v>0.03</v>
      </c>
      <c r="V36" s="4">
        <f t="shared" ca="1" si="54"/>
        <v>0.02</v>
      </c>
      <c r="W36" s="4">
        <f t="shared" ca="1" si="54"/>
        <v>0</v>
      </c>
      <c r="X36" s="4">
        <f t="shared" ca="1" si="54"/>
        <v>0.05</v>
      </c>
      <c r="Y36" s="4">
        <f t="shared" ca="1" si="54"/>
        <v>0</v>
      </c>
      <c r="Z36" s="4">
        <f t="shared" ca="1" si="54"/>
        <v>0.01</v>
      </c>
      <c r="AA36" s="4">
        <f t="shared" ca="1" si="54"/>
        <v>0.02</v>
      </c>
      <c r="AB36" s="4">
        <f t="shared" ca="1" si="54"/>
        <v>0.03</v>
      </c>
    </row>
    <row r="37" spans="10:48" x14ac:dyDescent="0.25">
      <c r="J37" s="87">
        <f t="shared" ca="1" si="17"/>
        <v>0.45000000000000007</v>
      </c>
      <c r="K37" s="98" t="s">
        <v>133</v>
      </c>
      <c r="L37" s="97"/>
      <c r="M37" s="4">
        <f ca="1">RANDBETWEEN(0,3)/100+0.03</f>
        <v>0.04</v>
      </c>
      <c r="N37" s="4">
        <f ca="1">RANDBETWEEN(0,3)/100+0.06</f>
        <v>0.06</v>
      </c>
      <c r="O37" s="4">
        <f ca="1">RANDBETWEEN(0,3)/100+0.03</f>
        <v>0.06</v>
      </c>
      <c r="P37" s="4">
        <f ca="1">RANDBETWEEN(0,3)/100+0.02</f>
        <v>0.05</v>
      </c>
      <c r="Q37" s="4">
        <f t="shared" ref="Q37:AB37" ca="1" si="55">RANDBETWEEN(0,3)/100</f>
        <v>0.03</v>
      </c>
      <c r="R37" s="4">
        <f t="shared" ca="1" si="55"/>
        <v>0.02</v>
      </c>
      <c r="S37" s="4">
        <f t="shared" ca="1" si="55"/>
        <v>0.02</v>
      </c>
      <c r="T37" s="4">
        <f ca="1">RANDBETWEEN(0,2)/100</f>
        <v>0</v>
      </c>
      <c r="U37" s="4">
        <f ca="1">RANDBETWEEN(0,2)/100</f>
        <v>0.01</v>
      </c>
      <c r="V37" s="4">
        <f ca="1">RANDBETWEEN(0,2)/100</f>
        <v>0.02</v>
      </c>
      <c r="W37" s="4">
        <f ca="1">RANDBETWEEN(0,2)/100</f>
        <v>0.01</v>
      </c>
      <c r="X37" s="4">
        <f ca="1">RANDBETWEEN(0,4)/100</f>
        <v>0.04</v>
      </c>
      <c r="Y37" s="4">
        <f ca="1">RANDBETWEEN(0,2)/100</f>
        <v>0.02</v>
      </c>
      <c r="Z37" s="4">
        <f ca="1">RANDBETWEEN(0,2)/100</f>
        <v>0.02</v>
      </c>
      <c r="AA37" s="4">
        <f ca="1">RANDBETWEEN(0,2)/100</f>
        <v>0.02</v>
      </c>
      <c r="AB37" s="4">
        <f t="shared" ca="1" si="55"/>
        <v>0.03</v>
      </c>
    </row>
    <row r="38" spans="10:48" x14ac:dyDescent="0.25">
      <c r="J38" s="99"/>
      <c r="M38" s="81"/>
      <c r="N38" s="81"/>
    </row>
    <row r="39" spans="10:48" x14ac:dyDescent="0.25">
      <c r="K39" t="s">
        <v>136</v>
      </c>
      <c r="M39" s="79">
        <f>AVERAGE(M5:M18)</f>
        <v>7.0986935389168809E-2</v>
      </c>
      <c r="N39" s="79">
        <f>AVERAGE(N5:N18)</f>
        <v>3.6527178554725315E-2</v>
      </c>
    </row>
    <row r="40" spans="10:48" x14ac:dyDescent="0.25">
      <c r="M40" s="80" t="s">
        <v>152</v>
      </c>
      <c r="N40" s="80" t="s">
        <v>151</v>
      </c>
    </row>
  </sheetData>
  <mergeCells count="1">
    <mergeCell ref="E2:F2"/>
  </mergeCells>
  <pageMargins left="0.7" right="0.7" top="0.75" bottom="0.75" header="0.3" footer="0.3"/>
  <pageSetup paperSize="9" orientation="portrait" horizontalDpi="0" verticalDpi="0" r:id="rId1"/>
  <ignoredErrors>
    <ignoredError sqref="AI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9E39-C615-4337-8099-BC4BBA848DEE}">
  <dimension ref="A1:AO37"/>
  <sheetViews>
    <sheetView workbookViewId="0"/>
  </sheetViews>
  <sheetFormatPr baseColWidth="10" defaultRowHeight="15" x14ac:dyDescent="0.25"/>
  <cols>
    <col min="1" max="1" width="22.5703125" customWidth="1"/>
    <col min="6" max="6" width="5.85546875" customWidth="1"/>
    <col min="7" max="7" width="11.5703125" bestFit="1" customWidth="1"/>
    <col min="8" max="8" width="14.5703125" bestFit="1" customWidth="1"/>
    <col min="9" max="9" width="13.5703125" bestFit="1" customWidth="1"/>
    <col min="10" max="10" width="11.42578125" style="99"/>
    <col min="12" max="24" width="5.7109375" customWidth="1"/>
    <col min="25" max="39" width="11.42578125" customWidth="1"/>
  </cols>
  <sheetData>
    <row r="1" spans="1:41" ht="15.75" thickBot="1" x14ac:dyDescent="0.3"/>
    <row r="2" spans="1:41" ht="15.75" thickBot="1" x14ac:dyDescent="0.3">
      <c r="E2" s="173" t="s">
        <v>166</v>
      </c>
      <c r="F2" s="174"/>
      <c r="G2" s="68" t="s">
        <v>28</v>
      </c>
      <c r="H2" s="11" t="s">
        <v>131</v>
      </c>
      <c r="I2" s="11" t="s">
        <v>132</v>
      </c>
      <c r="L2" s="69"/>
      <c r="M2" s="46"/>
      <c r="N2" s="45"/>
      <c r="O2" s="46"/>
      <c r="P2" s="47"/>
      <c r="Q2" s="65"/>
      <c r="R2" s="46"/>
      <c r="S2" s="45"/>
      <c r="T2" s="64"/>
      <c r="U2" s="45"/>
      <c r="V2" s="48"/>
      <c r="W2" s="66"/>
      <c r="X2" s="45"/>
      <c r="Z2" s="99"/>
      <c r="AA2" s="99"/>
      <c r="AB2" s="99"/>
      <c r="AC2" s="99"/>
      <c r="AD2" s="99"/>
      <c r="AE2" s="99"/>
      <c r="AF2" s="99"/>
      <c r="AG2" s="99"/>
      <c r="AH2" s="99"/>
      <c r="AI2" s="99"/>
      <c r="AJ2" s="99"/>
      <c r="AK2" s="99"/>
      <c r="AL2" s="99"/>
      <c r="AM2" s="99"/>
      <c r="AN2" s="99"/>
    </row>
    <row r="3" spans="1:41" x14ac:dyDescent="0.25">
      <c r="A3" s="113" t="s">
        <v>177</v>
      </c>
      <c r="B3" t="s">
        <v>52</v>
      </c>
      <c r="D3" s="46" t="s">
        <v>84</v>
      </c>
      <c r="E3" s="151">
        <v>11448663</v>
      </c>
      <c r="F3" s="115">
        <f>E3/SUM(E$3:E$14)</f>
        <v>0.31178788997509654</v>
      </c>
      <c r="G3" s="13">
        <f ca="1">(H3-I3/(COUNTA(B$3:B$11)/2))/100000</f>
        <v>121.19915164575792</v>
      </c>
      <c r="H3" s="20">
        <f>E3+M$4*E$4+M$5*E$5+M$6*E$6+M$7*E$7+M$8*E$8+M$9*E$9+M$10*E$10+M$11*E$11+E$12*M$12+E$13*M$13+E$14*M$14</f>
        <v>12560787.428857695</v>
      </c>
      <c r="I3" s="67">
        <f ca="1">M$21*E$4+M$22*E$5+M$23*E$6+M$24*E$7+M$25*E$8+M$26*E$9+M$27*E$10+M$28*E$11+E$12*M$29+E$13*M$30+E$14*M$31+B17*M$32+B19*M$33</f>
        <v>1983925.1892685576</v>
      </c>
      <c r="J3" s="87">
        <f>SUM(L3:X3)</f>
        <v>0.99999999999999967</v>
      </c>
      <c r="K3" s="46" t="s">
        <v>84</v>
      </c>
      <c r="L3" s="4">
        <v>0.89</v>
      </c>
      <c r="M3" s="70"/>
      <c r="N3" s="4">
        <f>(AC3-MIN($AB3:$AM3))/$AN3</f>
        <v>1.4102564102564099E-2</v>
      </c>
      <c r="O3" s="4">
        <f t="shared" ref="O3:X3" si="0">(AD3-MIN($AB3:$AM3))/$AN3</f>
        <v>1.4102564102564099E-2</v>
      </c>
      <c r="P3" s="4">
        <f t="shared" si="0"/>
        <v>2.8205128205128199E-3</v>
      </c>
      <c r="Q3" s="4">
        <f t="shared" si="0"/>
        <v>1.4102564102564099E-2</v>
      </c>
      <c r="R3" s="4">
        <f t="shared" si="0"/>
        <v>1.4102564102564099E-2</v>
      </c>
      <c r="S3" s="4">
        <f t="shared" si="0"/>
        <v>0</v>
      </c>
      <c r="T3" s="4">
        <f t="shared" si="0"/>
        <v>1.9743589743589741E-2</v>
      </c>
      <c r="U3" s="4">
        <f t="shared" si="0"/>
        <v>0</v>
      </c>
      <c r="V3" s="4">
        <f t="shared" si="0"/>
        <v>1.1282051282051279E-2</v>
      </c>
      <c r="W3" s="4">
        <f t="shared" si="0"/>
        <v>1.1282051282051279E-2</v>
      </c>
      <c r="X3" s="4">
        <f t="shared" si="0"/>
        <v>8.4615384615384596E-3</v>
      </c>
      <c r="Y3" s="75"/>
      <c r="Z3" s="99" t="s">
        <v>84</v>
      </c>
      <c r="AA3" s="112"/>
      <c r="AB3" s="112"/>
      <c r="AC3" s="112">
        <f>Proposition!S$24*2+Proposition!S$29+Proposition!S$31+Proposition!S$38</f>
        <v>-1</v>
      </c>
      <c r="AD3" s="112">
        <f>Proposition!S$24+Proposition!S$28+Proposition!S$31+Proposition!S$38+Proposition!S$41</f>
        <v>-1</v>
      </c>
      <c r="AE3" s="112">
        <f>Proposition!S$27+Proposition!S$28+Proposition!S$31+Proposition!S$34+Proposition!S$37+Proposition!S$38</f>
        <v>-5</v>
      </c>
      <c r="AF3" s="112">
        <f>Proposition!S$24*2+Proposition!S$29+Proposition!S$31+Proposition!S$35</f>
        <v>-1</v>
      </c>
      <c r="AG3" s="112">
        <f>Proposition!S$27+Proposition!S$28+Proposition!S$31</f>
        <v>-1</v>
      </c>
      <c r="AH3" s="112">
        <f>Proposition!S$27+Proposition!S$26+Proposition!S$29+Proposition!S$31</f>
        <v>-6</v>
      </c>
      <c r="AI3" s="112">
        <f>Proposition!S$24*2+Proposition!S$26+Proposition!S$31</f>
        <v>1</v>
      </c>
      <c r="AJ3" s="112">
        <f>Proposition!S$27+Proposition!S$29+Proposition!S$31+Proposition!S$35</f>
        <v>-6</v>
      </c>
      <c r="AK3" s="112">
        <f>Proposition!S$24+Proposition!S$29+Proposition!S$31+Proposition!S$42</f>
        <v>-2</v>
      </c>
      <c r="AL3" s="112">
        <f>Proposition!S$27+Proposition!S$28+Proposition!S$31+Proposition!S$41</f>
        <v>-2</v>
      </c>
      <c r="AM3" s="112">
        <f>Proposition!S$24+Proposition!S$29+Proposition!S$31+Proposition!S$35</f>
        <v>-3</v>
      </c>
      <c r="AN3" s="86">
        <f>SUM(AC3-MIN(AB3:AM3),AD3-MIN(AB3:AM3),AE3-MIN(AB3:AM3),AF3-MIN(AB3:AM3),AG3-MIN(AB3:AM3),AH3-MIN(AB3:AM3),AI3-MIN(AB3:AM3),AJ3-MIN(AB3:AM3),AK3-MIN(AB3:AM3),AL3-MIN(AB3:AM3),AM3-MIN(AB3:AM3))+(L3*SUM(AC3-MIN(AB3:AM3),AD3-MIN(AB3:AM3),AE3-MIN(AB3:AM3),AF3-MIN(AB3:AM3),AG3-MIN(AB3:AM3),AH3-MIN(AB3:AM3),AI3-MIN(AB3:AM3),AJ3-MIN(AB3:AM3),AK3-MIN(AB3:AM3),AL3-MIN(AB3:AM3),AM3-MIN(AB3:AM3)))/(1-L3)</f>
        <v>354.54545454545462</v>
      </c>
      <c r="AO3" s="99"/>
    </row>
    <row r="4" spans="1:41" x14ac:dyDescent="0.25">
      <c r="A4" s="113" t="s">
        <v>176</v>
      </c>
      <c r="B4" t="s">
        <v>53</v>
      </c>
      <c r="D4" s="45" t="s">
        <v>66</v>
      </c>
      <c r="E4" s="151">
        <v>9500112</v>
      </c>
      <c r="F4" s="115">
        <f t="shared" ref="F4:F14" si="1">E4/SUM(E$3:E$14)</f>
        <v>0.258721902724108</v>
      </c>
      <c r="G4" s="13">
        <f t="shared" ref="G4:G14" ca="1" si="2">(H4-I4/(COUNTA(B$3:B$11)/2))/100000</f>
        <v>103.70467808642678</v>
      </c>
      <c r="H4" s="20">
        <f>E4+N$3*E$3+N$5*E$5+N$6*E$6+N$7*E$7+N$8*E$8+N$9*E$9+N$10*E$10+N$11*E$11+E$12*N$12+E$13*N$13+E$14*N$14</f>
        <v>10746409.467821985</v>
      </c>
      <c r="I4" s="67">
        <f ca="1">N$20*E$3+N$22*E$5+N$23*E$6+N$24*E$7+N$25*E$8+N$26*E$9+N$27*E$10+N$28*E$11+E$12*N$29+E$13*N$30+E$14*N$31+B17*N$32+B19*N$33</f>
        <v>1691737.4663068801</v>
      </c>
      <c r="J4" s="87">
        <f t="shared" ref="J4:J33" si="3">SUM(L4:X4)</f>
        <v>1</v>
      </c>
      <c r="K4" s="45" t="s">
        <v>66</v>
      </c>
      <c r="L4" s="4">
        <v>0.89</v>
      </c>
      <c r="M4" s="4">
        <f t="shared" ref="M4:M14" si="4">(AB4-MIN($AB4:$AM4))/$AN4</f>
        <v>8.9999999999999993E-3</v>
      </c>
      <c r="N4" s="71"/>
      <c r="O4" s="4">
        <f t="shared" ref="O4:O14" si="5">(AD4-MIN($AB4:$AM4))/$AN4</f>
        <v>1.0999999999999999E-2</v>
      </c>
      <c r="P4" s="4">
        <f t="shared" ref="P4:P14" si="6">(AE4-MIN($AB4:$AM4))/$AN4</f>
        <v>0</v>
      </c>
      <c r="Q4" s="4">
        <f t="shared" ref="Q4:Q14" si="7">(AF4-MIN($AB4:$AM4))/$AN4</f>
        <v>6.9999999999999993E-3</v>
      </c>
      <c r="R4" s="4">
        <f t="shared" ref="R4:R14" si="8">(AG4-MIN($AB4:$AM4))/$AN4</f>
        <v>7.9999999999999984E-3</v>
      </c>
      <c r="S4" s="4">
        <f t="shared" ref="S4:S14" si="9">(AH4-MIN($AB4:$AM4))/$AN4</f>
        <v>2.0999999999999998E-2</v>
      </c>
      <c r="T4" s="4">
        <f t="shared" ref="T4:T14" si="10">(AI4-MIN($AB4:$AM4))/$AN4</f>
        <v>1.1999999999999999E-2</v>
      </c>
      <c r="U4" s="4">
        <f t="shared" ref="U4:U14" si="11">(AJ4-MIN($AB4:$AM4))/$AN4</f>
        <v>1.3999999999999999E-2</v>
      </c>
      <c r="V4" s="4">
        <f t="shared" ref="V4:V14" si="12">(AK4-MIN($AB4:$AM4))/$AN4</f>
        <v>1.3999999999999999E-2</v>
      </c>
      <c r="W4" s="4">
        <f t="shared" ref="W4:W14" si="13">(AL4-MIN($AB4:$AM4))/$AN4</f>
        <v>3.9999999999999992E-3</v>
      </c>
      <c r="X4" s="4">
        <f t="shared" ref="X4:X13" si="14">(AM4-MIN($AB4:$AM4))/$AN4</f>
        <v>9.9999999999999985E-3</v>
      </c>
      <c r="Y4" s="75"/>
      <c r="Z4" s="99" t="s">
        <v>66</v>
      </c>
      <c r="AA4" s="112"/>
      <c r="AB4" s="112">
        <f>Proposition!S$24*2+Proposition!S$29+Proposition!S$31+Proposition!S$38+Proposition!S$44</f>
        <v>0</v>
      </c>
      <c r="AC4" s="112"/>
      <c r="AD4" s="112">
        <f>Proposition!S$24*4+Proposition!S$29+Proposition!S$31+Proposition!S$38+Proposition!S$41</f>
        <v>2</v>
      </c>
      <c r="AE4" s="112">
        <f>Proposition!S$27+Proposition!S$29+Proposition!S$31+Proposition!S$35+Proposition!S$37+Proposition!S$38</f>
        <v>-9</v>
      </c>
      <c r="AF4" s="112">
        <f>Proposition!S$27+Proposition!S$28+Proposition!S$31+Proposition!S$34</f>
        <v>-2</v>
      </c>
      <c r="AG4" s="112">
        <f>Proposition!S$24+Proposition!S$29+Proposition!S$31</f>
        <v>-1</v>
      </c>
      <c r="AH4" s="112">
        <f>Proposition!S$24*6+Proposition!S$28+Proposition!S$31</f>
        <v>12</v>
      </c>
      <c r="AI4" s="112">
        <f>Proposition!S$24*2+Proposition!S$31</f>
        <v>3</v>
      </c>
      <c r="AJ4" s="112">
        <f>Proposition!S$24*3+Proposition!S$28+Proposition!S$31+Proposition!S$34</f>
        <v>5</v>
      </c>
      <c r="AK4" s="112">
        <f>Proposition!S$24*3+Proposition!S$28+Proposition!S$31+Proposition!S$42</f>
        <v>5</v>
      </c>
      <c r="AL4" s="112">
        <f>Proposition!S$27+Proposition!S$29+Proposition!S$31+Proposition!S$41</f>
        <v>-5</v>
      </c>
      <c r="AM4" s="112">
        <f>Proposition!S$24+Proposition!S$28+Proposition!S$31+Proposition!S$34</f>
        <v>1</v>
      </c>
      <c r="AN4" s="86">
        <f>SUM(AB4-MIN(AB4:AM4),AD4-MIN(AB4:AM4),AE4-MIN(AB4:AM4),AF4-MIN(AB4:AM4),AG4-MIN(AB4:AM4),AH4-MIN(AB4:AM4),AI4-MIN(AB4:AM4),AJ4-MIN(AB4:AM4),AK4-MIN(AB4:AM4),AL4-MIN(AB4:AM4),AM4-MIN(AB4:AM4))+(L4*SUM(AB4-MIN(AB4:AM4),AD4-MIN(AB4:AM4),AE4-MIN(AB4:AM4),AF4-MIN(AB4:AM4),AG4-MIN(AB4:AM4),AH4-MIN(AB4:AM4),AI4-MIN(AB4:AM4),AJ4-MIN(AB4:AM4),AK4-MIN(AB4:AM4),AL4-MIN(AB4:AM4),AM4-MIN(AB4:AM4)))/(1-L4)</f>
        <v>1000.0000000000001</v>
      </c>
      <c r="AO4" s="99"/>
    </row>
    <row r="5" spans="1:41" x14ac:dyDescent="0.25">
      <c r="A5" s="113" t="s">
        <v>178</v>
      </c>
      <c r="B5" t="s">
        <v>86</v>
      </c>
      <c r="D5" s="46" t="s">
        <v>92</v>
      </c>
      <c r="E5" s="151">
        <v>6820119</v>
      </c>
      <c r="F5" s="115">
        <f t="shared" si="1"/>
        <v>0.18573614337229294</v>
      </c>
      <c r="G5" s="13">
        <f t="shared" ca="1" si="2"/>
        <v>69.150511067130424</v>
      </c>
      <c r="H5" s="20">
        <f>E5+O$4*E$4+O$3*E$3+O$6*E$6+O$7*E$7+O$8*E$8+O$9*E$9+O$10*E$10+O$11*E$11+E$12*O$12+E$13*O$13+E$14*O$14</f>
        <v>7501324.9209124716</v>
      </c>
      <c r="I5" s="67">
        <f ca="1">O$21*E$4+O$20*E$3+O$23*E$6+O$24*E$7+O$25*E$8+O$26*E$9+O$27*E$10+O$28*E$11+E$12*O$29+E$13*O$30+E$14*O$31+B17*O$32+B19*O$33</f>
        <v>2638232.1638974333</v>
      </c>
      <c r="J5" s="87">
        <f t="shared" si="3"/>
        <v>1</v>
      </c>
      <c r="K5" s="46" t="s">
        <v>92</v>
      </c>
      <c r="L5" s="4">
        <v>0.55000000000000004</v>
      </c>
      <c r="M5" s="78">
        <f t="shared" si="4"/>
        <v>5.2499999999999998E-2</v>
      </c>
      <c r="N5" s="78">
        <f t="shared" ref="N5:N14" si="15">(AC5-MIN($AB5:$AM5))/$AN5</f>
        <v>6.7499999999999991E-2</v>
      </c>
      <c r="O5" s="71"/>
      <c r="P5" s="4">
        <f t="shared" si="6"/>
        <v>2.2499999999999999E-2</v>
      </c>
      <c r="Q5" s="4">
        <f t="shared" si="7"/>
        <v>3.7499999999999999E-2</v>
      </c>
      <c r="R5" s="4">
        <f t="shared" si="8"/>
        <v>4.4999999999999998E-2</v>
      </c>
      <c r="S5" s="4">
        <f t="shared" si="9"/>
        <v>5.2499999999999998E-2</v>
      </c>
      <c r="T5" s="4">
        <f t="shared" si="10"/>
        <v>9.7499999999999989E-2</v>
      </c>
      <c r="U5" s="4">
        <f t="shared" si="11"/>
        <v>3.7499999999999999E-2</v>
      </c>
      <c r="V5" s="4">
        <f t="shared" si="12"/>
        <v>7.4999999999999997E-3</v>
      </c>
      <c r="W5" s="4">
        <f t="shared" si="13"/>
        <v>0.03</v>
      </c>
      <c r="X5" s="4">
        <f t="shared" si="14"/>
        <v>0</v>
      </c>
      <c r="Y5" s="75"/>
      <c r="Z5" s="99" t="s">
        <v>92</v>
      </c>
      <c r="AA5" s="112"/>
      <c r="AB5" s="112">
        <f>Proposition!S$24+Proposition!S$28+Proposition!S$31+Proposition!S$33+Proposition!S$38+Proposition!S$44</f>
        <v>-1</v>
      </c>
      <c r="AC5" s="112">
        <f>Proposition!S$24*4+Proposition!S$29+Proposition!S$31+Proposition!S$33+Proposition!S$38</f>
        <v>1</v>
      </c>
      <c r="AD5" s="112"/>
      <c r="AE5" s="112">
        <f>Proposition!S$27+Proposition!S$28+Proposition!S$31+Proposition!S$34+Proposition!S$37+Proposition!S$38</f>
        <v>-5</v>
      </c>
      <c r="AF5" s="112">
        <f>Proposition!S$24+Proposition!S$29+Proposition!S$31+Proposition!S$35</f>
        <v>-3</v>
      </c>
      <c r="AG5" s="112">
        <f>Proposition!S$24+Proposition!S$26*2+Proposition!S$28+Proposition!S$31</f>
        <v>-2</v>
      </c>
      <c r="AH5" s="112">
        <f>Proposition!S$24+Proposition!S$29+Proposition!S$31</f>
        <v>-1</v>
      </c>
      <c r="AI5" s="112">
        <f>Proposition!S$24*3+Proposition!S$31</f>
        <v>5</v>
      </c>
      <c r="AJ5" s="112">
        <f>Proposition!S$24+Proposition!S$29+Proposition!S$31+Proposition!S$35</f>
        <v>-3</v>
      </c>
      <c r="AK5" s="112">
        <f>Proposition!S$27+Proposition!S$26+Proposition!S$29+Proposition!S$31+Proposition!S$42</f>
        <v>-7</v>
      </c>
      <c r="AL5" s="112">
        <f>Proposition!S$27+Proposition!S$26+Proposition!S$28+Proposition!S$31+Proposition!S$41</f>
        <v>-4</v>
      </c>
      <c r="AM5" s="112">
        <f>Proposition!S$27+Proposition!S$26+Proposition!S$29+Proposition!S$31+Proposition!S$35</f>
        <v>-8</v>
      </c>
      <c r="AN5" s="86">
        <f>SUM(AB5-MIN(AB5:AM5),AC5-MIN(AB5:AM5),AE5-MIN(AB5:AM5),AF5-MIN(AB5:AM5),AG5-MIN(AB5:AM5),AH5-MIN(AB5:AM5),AI5-MIN(AB5:AM5),AJ5-MIN(AB5:AM5),AK5-MIN(AB5:AM5),AL5-MIN(AB5:AM5),AM5-MIN(AB5:AM5))+(L5*SUM(AB5-MIN(AB5:AM5),AC5-MIN(AB5:AM5),AE5-MIN(AB5:AM5),AF5-MIN(AB5:AM5),AG5-MIN(AB5:AM5),AH5-MIN(AB5:AM5),AI5-MIN(AB5:AM5),AJ5-MIN(AB5:AM5),AK5-MIN(AB5:AM5),AL5-MIN(AB5:AM5),AM5-MIN(AB5:AM5)))/(1-L5)</f>
        <v>133.33333333333334</v>
      </c>
      <c r="AO5" s="99"/>
    </row>
    <row r="6" spans="1:41" x14ac:dyDescent="0.25">
      <c r="A6" s="130"/>
      <c r="B6" t="s">
        <v>51</v>
      </c>
      <c r="D6" s="47" t="s">
        <v>60</v>
      </c>
      <c r="E6" s="151">
        <v>3834530</v>
      </c>
      <c r="F6" s="115">
        <f t="shared" si="1"/>
        <v>0.10442791597116685</v>
      </c>
      <c r="G6" s="13">
        <f t="shared" ca="1" si="2"/>
        <v>29.474635425463937</v>
      </c>
      <c r="H6" s="20">
        <f>E6+P$4*E$4+P$5*E$5+P$3*E$3+P$7*E$7+P$8*E$8+P$9*E$9+P$10*E$10+P$11*E$11+E$12*P$12+E$13*P$13+E$14*P$14</f>
        <v>4211054.0313333692</v>
      </c>
      <c r="I6" s="67">
        <f ca="1">P$21*E$4+P$22*E$5+P$20*E$3+P$24*E$7+P$25*E$8+P$26*E$9+P$27*E$10+P$28*E$11+E$12*P$29+E$13*P$30+E$14*P$31+B17*P$32+B19*P$33</f>
        <v>5686157.199541389</v>
      </c>
      <c r="J6" s="87">
        <f t="shared" si="3"/>
        <v>1</v>
      </c>
      <c r="K6" s="47" t="s">
        <v>60</v>
      </c>
      <c r="L6" s="4">
        <v>0.34</v>
      </c>
      <c r="M6" s="79">
        <f t="shared" si="4"/>
        <v>6.7692307692307691E-2</v>
      </c>
      <c r="N6" s="79">
        <f t="shared" si="15"/>
        <v>0</v>
      </c>
      <c r="O6" s="4">
        <f t="shared" si="5"/>
        <v>3.3846153846153845E-2</v>
      </c>
      <c r="P6" s="71"/>
      <c r="Q6" s="4">
        <f t="shared" si="7"/>
        <v>3.3846153846153845E-2</v>
      </c>
      <c r="R6" s="4">
        <f t="shared" si="8"/>
        <v>0.18615384615384614</v>
      </c>
      <c r="S6" s="4">
        <f t="shared" si="9"/>
        <v>3.3846153846153845E-2</v>
      </c>
      <c r="T6" s="4">
        <f t="shared" si="10"/>
        <v>0.10153846153846154</v>
      </c>
      <c r="U6" s="4">
        <f t="shared" si="11"/>
        <v>3.3846153846153845E-2</v>
      </c>
      <c r="V6" s="4">
        <f t="shared" si="12"/>
        <v>1.6923076923076923E-2</v>
      </c>
      <c r="W6" s="4">
        <f t="shared" si="13"/>
        <v>0.11846153846153845</v>
      </c>
      <c r="X6" s="4">
        <f t="shared" si="14"/>
        <v>3.3846153846153845E-2</v>
      </c>
      <c r="Y6" s="75"/>
      <c r="Z6" s="99" t="s">
        <v>60</v>
      </c>
      <c r="AA6" s="112"/>
      <c r="AB6" s="112">
        <f>Proposition!S$27+Proposition!S$28+Proposition!S$31+Proposition!S$33+Proposition!S$38+Proposition!S$44</f>
        <v>-4</v>
      </c>
      <c r="AC6" s="112">
        <f>Proposition!S$27+Proposition!S$29+Proposition!S$31+Proposition!S$33+Proposition!S$38</f>
        <v>-8</v>
      </c>
      <c r="AD6" s="112">
        <f>Proposition!S$27+Proposition!S$28+Proposition!S$31+Proposition!S$33+Proposition!S$38+Proposition!S$41</f>
        <v>-6</v>
      </c>
      <c r="AE6" s="112"/>
      <c r="AF6" s="112">
        <f>Proposition!S$27+Proposition!S$29+Proposition!S$31+Proposition!S$36</f>
        <v>-6</v>
      </c>
      <c r="AG6" s="112">
        <f>Proposition!S$24+Proposition!S$25+Proposition!S$28+Proposition!S$31</f>
        <v>3</v>
      </c>
      <c r="AH6" s="112">
        <f>Proposition!S$27+Proposition!S$29+Proposition!S$31+Proposition!S$33</f>
        <v>-6</v>
      </c>
      <c r="AI6" s="112">
        <f>Proposition!S$27+Proposition!S$31</f>
        <v>-2</v>
      </c>
      <c r="AJ6" s="112">
        <f>Proposition!S$27+Proposition!S$29+Proposition!S$31+Proposition!S$36</f>
        <v>-6</v>
      </c>
      <c r="AK6" s="112">
        <f>Proposition!S$27+Proposition!S$26+Proposition!S$29+Proposition!S$31+Proposition!S$42</f>
        <v>-7</v>
      </c>
      <c r="AL6" s="112">
        <f>Proposition!S$24+Proposition!S$28+Proposition!S$31+Proposition!S$36+Proposition!S$41</f>
        <v>-1</v>
      </c>
      <c r="AM6" s="112">
        <f>Proposition!S$27+Proposition!S$29+Proposition!S$31+Proposition!S$36</f>
        <v>-6</v>
      </c>
      <c r="AN6" s="86">
        <f>SUM(AB6-MIN(AB6:AM6),AC6-MIN(AB6:AM6),AD6-MIN(AB6:AM6),AF6-MIN(AB6:AM6),AG6-MIN(AB6:AM6),AH6-MIN(AB6:AM6),AI6-MIN(AB6:AM6),AJ6-MIN(AB6:AM6),AK6-MIN(AB6:AM6),AL6-MIN(AB6:AM6),AM6-MIN(AB6:AM6))+(L6*SUM(AB6-MIN(AB6:AM6),AC6-MIN(AB6:AM6),AD6-MIN(AB6:AM6),AF6-MIN(AB6:AM6),AG6-MIN(AB6:AM6),AH6-MIN(AB6:AM6),AI6-MIN(AB6:AM6),AJ6-MIN(AB6:AM6),AK6-MIN(AB6:AM6),AL6-MIN(AB6:AM6),AM6-MIN(AB6:AM6)))/(1-L6)</f>
        <v>59.090909090909093</v>
      </c>
      <c r="AO6" s="99"/>
    </row>
    <row r="7" spans="1:41" x14ac:dyDescent="0.25">
      <c r="A7" s="130"/>
      <c r="B7" t="s">
        <v>93</v>
      </c>
      <c r="D7" s="65" t="s">
        <v>94</v>
      </c>
      <c r="E7" s="151">
        <v>1498581</v>
      </c>
      <c r="F7" s="115">
        <f t="shared" si="1"/>
        <v>4.0811700715338566E-2</v>
      </c>
      <c r="G7" s="13">
        <f t="shared" ca="1" si="2"/>
        <v>16.586984655776053</v>
      </c>
      <c r="H7" s="20">
        <f>E7+Q$4*E$4+Q$5*E$5+Q$6*E$6+Q$3*E$3+Q$8*E$8+Q$9*E$9+Q$10*E$10+Q$11*E$11+E$12*Q$12+E$13*Q$13+E$14*Q$14</f>
        <v>2425953.3383342796</v>
      </c>
      <c r="I7" s="67">
        <f ca="1">Q$21*E$4+Q$22*E$5+Q$23*E$6+Q$20*E$3+Q$25*E$8+Q$26*E$9+Q$27*E$10+Q$28*E$11+E$12*Q$29+E$13*Q$30+E$14*Q$31+B17*Q$32+B19*Q$33</f>
        <v>3452646.9274050347</v>
      </c>
      <c r="J7" s="87">
        <f t="shared" si="3"/>
        <v>1</v>
      </c>
      <c r="K7" s="65" t="s">
        <v>94</v>
      </c>
      <c r="L7" s="4">
        <v>0.21</v>
      </c>
      <c r="M7" s="79">
        <f t="shared" si="4"/>
        <v>7.9887640449438205E-2</v>
      </c>
      <c r="N7" s="79">
        <f t="shared" si="15"/>
        <v>5.3258426966292134E-2</v>
      </c>
      <c r="O7" s="4">
        <f t="shared" si="5"/>
        <v>4.4382022471910115E-2</v>
      </c>
      <c r="P7" s="4">
        <f t="shared" si="6"/>
        <v>0</v>
      </c>
      <c r="Q7" s="71"/>
      <c r="R7" s="4">
        <f t="shared" si="8"/>
        <v>5.3258426966292134E-2</v>
      </c>
      <c r="S7" s="4">
        <f t="shared" si="9"/>
        <v>9.7640449438202256E-2</v>
      </c>
      <c r="T7" s="4">
        <f t="shared" si="10"/>
        <v>0.12426966292134832</v>
      </c>
      <c r="U7" s="4">
        <f t="shared" si="11"/>
        <v>7.1011235955056179E-2</v>
      </c>
      <c r="V7" s="4">
        <f t="shared" si="12"/>
        <v>0.13314606741573035</v>
      </c>
      <c r="W7" s="4">
        <f t="shared" si="13"/>
        <v>1.7752808988764045E-2</v>
      </c>
      <c r="X7" s="4">
        <f t="shared" si="14"/>
        <v>0.11539325842696629</v>
      </c>
      <c r="Y7" s="75"/>
      <c r="Z7" s="99" t="s">
        <v>94</v>
      </c>
      <c r="AA7" s="112"/>
      <c r="AB7" s="112">
        <f>Proposition!S$24*2+Proposition!S$29+Proposition!S$31+Proposition!S$33+Proposition!S$44</f>
        <v>0</v>
      </c>
      <c r="AC7" s="112">
        <f>Proposition!S$27+Proposition!S$28+Proposition!S$31+Proposition!S$33</f>
        <v>-3</v>
      </c>
      <c r="AD7" s="112">
        <f>Proposition!S$24+Proposition!S$29+Proposition!S$31+Proposition!S$33+Proposition!S$41</f>
        <v>-4</v>
      </c>
      <c r="AE7" s="112">
        <f>Proposition!S$27+Proposition!S$29+Proposition!S$31+Proposition!S$33+Proposition!S$36+Proposition!S$37</f>
        <v>-9</v>
      </c>
      <c r="AF7" s="112"/>
      <c r="AG7" s="112">
        <f>Proposition!S$24+Proposition!S$26+Proposition!S$29+Proposition!S$31</f>
        <v>-3</v>
      </c>
      <c r="AH7" s="112">
        <f>Proposition!S$24+Proposition!S$28+Proposition!S$31</f>
        <v>2</v>
      </c>
      <c r="AI7" s="112">
        <f>Proposition!S$24*3+Proposition!S$31</f>
        <v>5</v>
      </c>
      <c r="AJ7" s="112">
        <f>Proposition!S$27+Proposition!S$28+Proposition!S$30+Proposition!S$36</f>
        <v>-1</v>
      </c>
      <c r="AK7" s="112">
        <f>Proposition!S$24*3+Proposition!S$25+Proposition!S$28+Proposition!S$31+Proposition!S$42</f>
        <v>6</v>
      </c>
      <c r="AL7" s="112">
        <f>Proposition!S$27+Proposition!S$29+Proposition!S$31+Proposition!S$36+Proposition!S$41</f>
        <v>-7</v>
      </c>
      <c r="AM7" s="112">
        <f>Proposition!S$24*2+Proposition!S$28+Proposition!S$30+Proposition!S$36</f>
        <v>4</v>
      </c>
      <c r="AN7" s="86">
        <f>SUM(AB7-MIN(AB7:AM7),AC7-MIN(AB7:AM7),AD7-MIN(AB7:AM7),AE7-MIN(AB7:AM7),AG7-MIN(AB7:AM7),AH7-MIN(AB7:AM7),AI7-MIN(AB7:AM7),AJ7-MIN(AB7:AM7),AK7-MIN(AB7:AM7),AL7-MIN(AB7:AM7),AM7-MIN(AB7:AM7))+(L7*SUM(AB7-MIN(AB7:AM7),AC7-MIN(AB7:AM7),AD7-MIN(AB7:AM7),AE7-MIN(AB7:AM7),AG7-MIN(AB7:AM7),AH7-MIN(AB7:AM7),AI7-MIN(AB7:AM7),AJ7-MIN(AB7:AM7),AK7-MIN(AB7:AM7),AL7-MIN(AB7:AM7),AM7-MIN(AB7:AM7)))/(1-L7)</f>
        <v>112.65822784810126</v>
      </c>
      <c r="AO7" s="99"/>
    </row>
    <row r="8" spans="1:41" x14ac:dyDescent="0.25">
      <c r="A8" s="130"/>
      <c r="B8" t="s">
        <v>95</v>
      </c>
      <c r="D8" s="46" t="s">
        <v>96</v>
      </c>
      <c r="E8" s="151">
        <v>818407</v>
      </c>
      <c r="F8" s="115">
        <f t="shared" si="1"/>
        <v>2.2288138944333399E-2</v>
      </c>
      <c r="G8" s="13">
        <f t="shared" ca="1" si="2"/>
        <v>19.466779168400947</v>
      </c>
      <c r="H8" s="20">
        <f>E8+R$4*E$4+R$5*E$5+R$6*E$6+R$7*E$7+R$3*E$3+R$9*E$9+R$10*E$10+R$11*E$11+E$12*R$12+E$13*R$13+E$14*R$14</f>
        <v>2399393.8901406112</v>
      </c>
      <c r="I8" s="67">
        <f ca="1">R$21*E$4+R$22*E$5+R$23*E$6+R$24*E$7+R$20*E$3+R$26*E$9+R$27*E$10+R$28*E$11+E$12*R$29+E$13*R$30+E$14*R$31+B17*R$32+B19*R$33</f>
        <v>2037221.8798523252</v>
      </c>
      <c r="J8" s="87">
        <f t="shared" si="3"/>
        <v>1</v>
      </c>
      <c r="K8" s="46" t="s">
        <v>96</v>
      </c>
      <c r="L8" s="4">
        <v>0.13</v>
      </c>
      <c r="M8" s="79">
        <f t="shared" si="4"/>
        <v>0.11347826086956521</v>
      </c>
      <c r="N8" s="79">
        <f t="shared" si="15"/>
        <v>9.4565217391304343E-2</v>
      </c>
      <c r="O8" s="4">
        <f t="shared" si="5"/>
        <v>5.6739130434782604E-2</v>
      </c>
      <c r="P8" s="4">
        <f t="shared" si="6"/>
        <v>0.13239130434782609</v>
      </c>
      <c r="Q8" s="4">
        <f t="shared" si="7"/>
        <v>1.8913043478260869E-2</v>
      </c>
      <c r="R8" s="71"/>
      <c r="S8" s="4">
        <f t="shared" si="9"/>
        <v>1.8913043478260869E-2</v>
      </c>
      <c r="T8" s="4">
        <f t="shared" si="10"/>
        <v>0</v>
      </c>
      <c r="U8" s="4">
        <f t="shared" si="11"/>
        <v>5.6739130434782604E-2</v>
      </c>
      <c r="V8" s="4">
        <f t="shared" si="12"/>
        <v>0.11347826086956521</v>
      </c>
      <c r="W8" s="4">
        <f t="shared" si="13"/>
        <v>0.17021739130434782</v>
      </c>
      <c r="X8" s="4">
        <f t="shared" si="14"/>
        <v>9.4565217391304343E-2</v>
      </c>
      <c r="Y8" s="75"/>
      <c r="Z8" s="99" t="s">
        <v>96</v>
      </c>
      <c r="AA8" s="112"/>
      <c r="AB8" s="112">
        <f>Proposition!S$27+Proposition!S$28+Proposition!S$31+Proposition!S$44</f>
        <v>0</v>
      </c>
      <c r="AC8" s="112">
        <f>Proposition!S$24+Proposition!S$29+Proposition!S$31</f>
        <v>-1</v>
      </c>
      <c r="AD8" s="112">
        <f>Proposition!S$24+Proposition!S$26*2+Proposition!S$28+Proposition!S$31+Proposition!S$41</f>
        <v>-3</v>
      </c>
      <c r="AE8" s="112">
        <f>Proposition!S$24+Proposition!S$25+Proposition!S$28+Proposition!S$31+Proposition!S$34+Proposition!S$37</f>
        <v>1</v>
      </c>
      <c r="AF8" s="112">
        <f>Proposition!S$24+Proposition!S$26+Proposition!S$29+Proposition!S$31+Proposition!S$35</f>
        <v>-5</v>
      </c>
      <c r="AG8" s="112"/>
      <c r="AH8" s="112">
        <f>Proposition!S$24+Proposition!S$26*2+Proposition!S$29+Proposition!S$31</f>
        <v>-5</v>
      </c>
      <c r="AI8" s="112">
        <f>Proposition!S$27+Proposition!S$26*2+Proposition!S$31</f>
        <v>-6</v>
      </c>
      <c r="AJ8" s="112">
        <f>Proposition!S$24+Proposition!S$29+Proposition!S$31+Proposition!S$35</f>
        <v>-3</v>
      </c>
      <c r="AK8" s="112">
        <f>Proposition!S$24*2+Proposition!S$29+Proposition!S$31+Proposition!S$42</f>
        <v>0</v>
      </c>
      <c r="AL8" s="112">
        <f>Proposition!S$24*2+Proposition!S$28+Proposition!S$31+Proposition!S$41</f>
        <v>3</v>
      </c>
      <c r="AM8" s="112">
        <f>Proposition!S$24*2+Proposition!S$29+Proposition!S$31+Proposition!S$35</f>
        <v>-1</v>
      </c>
      <c r="AN8" s="86">
        <f>SUM(AB8-MIN(AB8:AM8),AC8-MIN(AB8:AM8),AD8-MIN(AB8:AM8),AE8-MIN(AB8:AM8),AF8-MIN(AB8:AM8),AH8-MIN(AB8:AM8),AI8-MIN(AB8:AM8),AJ8-MIN(AB8:AM8),AK8-MIN(AB8:AM8),AL8-MIN(AB8:AM8),AM8-MIN(AB8:AM8))+(L8*SUM(AB8-MIN(AB8:AM8),AC8-MIN(AB8:AM8),AD8-MIN(AB8:AM8),AE8-MIN(AB8:AM8),AF8-MIN(AB8:AM8),AH8-MIN(AB8:AM8),AI8-MIN(AB8:AM8),AJ8-MIN(AB8:AM8),AK8-MIN(AB8:AM8),AL8-MIN(AB8:AM8),AM8-MIN(AB8:AM8)))/(1-L8)</f>
        <v>52.873563218390807</v>
      </c>
      <c r="AO8" s="99"/>
    </row>
    <row r="9" spans="1:41" x14ac:dyDescent="0.25">
      <c r="A9" s="130"/>
      <c r="B9" t="s">
        <v>97</v>
      </c>
      <c r="D9" s="45" t="s">
        <v>98</v>
      </c>
      <c r="E9" s="151">
        <v>707268</v>
      </c>
      <c r="F9" s="115">
        <f t="shared" si="1"/>
        <v>1.9261427938520558E-2</v>
      </c>
      <c r="G9" s="13">
        <f t="shared" ca="1" si="2"/>
        <v>10.704938915984746</v>
      </c>
      <c r="H9" s="20">
        <f>E9+S$4*E$4+S$5*E$5+S$6*E$6+S$7*E$7+S$8*E$8+S$3*E$3+S$10*E$10+S$11*E$11+E$12*S$12+E$13*S$13+E$14*S$14</f>
        <v>1753965.6230556252</v>
      </c>
      <c r="I9" s="67">
        <f ca="1">S$21*E$4+S$22*E$5+S$23*E$6+S$24*E$7+S$25*E$8+S$20*E$3+S$27*E$10+S$28*E$11+E$12*S$29+E$13*S$30+E$14*S$31+B17*S$32+B19*S$33</f>
        <v>3075622.7915571774</v>
      </c>
      <c r="J9" s="87">
        <f t="shared" si="3"/>
        <v>0.99999999999999989</v>
      </c>
      <c r="K9" s="45" t="s">
        <v>98</v>
      </c>
      <c r="L9" s="4">
        <v>0.08</v>
      </c>
      <c r="M9" s="79">
        <f t="shared" si="4"/>
        <v>0</v>
      </c>
      <c r="N9" s="79">
        <f t="shared" si="15"/>
        <v>0.26892307692307688</v>
      </c>
      <c r="O9" s="4">
        <f t="shared" si="5"/>
        <v>7.0769230769230765E-2</v>
      </c>
      <c r="P9" s="4">
        <f t="shared" si="6"/>
        <v>0</v>
      </c>
      <c r="Q9" s="4">
        <f t="shared" si="7"/>
        <v>0.11323076923076922</v>
      </c>
      <c r="R9" s="4">
        <f t="shared" si="8"/>
        <v>2.8307692307692305E-2</v>
      </c>
      <c r="S9" s="71"/>
      <c r="T9" s="4">
        <f t="shared" si="10"/>
        <v>0.14153846153846153</v>
      </c>
      <c r="U9" s="4">
        <f t="shared" si="11"/>
        <v>0.11323076923076922</v>
      </c>
      <c r="V9" s="4">
        <f t="shared" si="12"/>
        <v>0.11323076923076922</v>
      </c>
      <c r="W9" s="4">
        <f t="shared" si="13"/>
        <v>0</v>
      </c>
      <c r="X9" s="4">
        <f t="shared" si="14"/>
        <v>7.0769230769230765E-2</v>
      </c>
      <c r="Y9" s="75"/>
      <c r="Z9" s="99" t="s">
        <v>98</v>
      </c>
      <c r="AA9" s="112"/>
      <c r="AB9" s="112">
        <f>Proposition!S$27+Proposition!S$26+Proposition!S$29+Proposition!S$31+Proposition!S$33+Proposition!S$44</f>
        <v>-7</v>
      </c>
      <c r="AC9" s="112">
        <f>Proposition!S$24*6+Proposition!S$28+Proposition!S$31</f>
        <v>12</v>
      </c>
      <c r="AD9" s="112">
        <f>Proposition!S$24+Proposition!S$29+Proposition!S$31+Proposition!S$41</f>
        <v>-2</v>
      </c>
      <c r="AE9" s="112">
        <f>Proposition!S$27+Proposition!S$29+Proposition!S$31+Proposition!S$35+Proposition!S$37</f>
        <v>-7</v>
      </c>
      <c r="AF9" s="112">
        <f>Proposition!S$24+Proposition!S$28+Proposition!S$31+Proposition!S$34</f>
        <v>1</v>
      </c>
      <c r="AG9" s="112">
        <f>Proposition!S$24+Proposition!S$26*2+Proposition!S$29+Proposition!S$31</f>
        <v>-5</v>
      </c>
      <c r="AH9" s="112"/>
      <c r="AI9" s="112">
        <f>Proposition!S$24*2+Proposition!S$31</f>
        <v>3</v>
      </c>
      <c r="AJ9" s="112">
        <f>Proposition!S$24+Proposition!S$28+Proposition!S$31+Proposition!S$34</f>
        <v>1</v>
      </c>
      <c r="AK9" s="112">
        <f>Proposition!S$24*2+Proposition!S$26+Proposition!S$28+Proposition!S$31+Proposition!S$42</f>
        <v>1</v>
      </c>
      <c r="AL9" s="112">
        <f>Proposition!S$27+Proposition!S$26+Proposition!S$29+Proposition!S$31+Proposition!S$41</f>
        <v>-7</v>
      </c>
      <c r="AM9" s="112">
        <f>Proposition!S$27+Proposition!S$28+Proposition!S$31+Proposition!S$34</f>
        <v>-2</v>
      </c>
      <c r="AN9" s="86">
        <f>SUM(AB9-MIN(AB9:AM9),AC9-MIN(AB9:AM9),AD9-MIN(AB9:AM9),AE9-MIN(AB9:AM9),AF9-MIN(AB9:AM9),AG9-MIN(AB9:AM9),AI9-MIN(AB9:AM9),AJ9-MIN(AB9:AM9),AK9-MIN(AB9:AM9),AL9-MIN(AB9:AM9),AM9-MIN(AB9:AM9))+(L9*SUM(AB9-MIN(AB9:AM9),AC9-MIN(AB9:AM9),AD9-MIN(AB9:AM9),AE9-MIN(AB9:AM9),AF9-MIN(AB9:AM9),AG9-MIN(AB9:AM9),AI9-MIN(AB9:AM9),AJ9-MIN(AB9:AM9),AK9-MIN(AB9:AM9),AL9-MIN(AB9:AM9),AM9-MIN(AB9:AM9)))/(1-L9)</f>
        <v>70.652173913043484</v>
      </c>
      <c r="AO9" s="99"/>
    </row>
    <row r="10" spans="1:41" x14ac:dyDescent="0.25">
      <c r="A10" s="130"/>
      <c r="B10" t="s">
        <v>99</v>
      </c>
      <c r="D10" s="64" t="s">
        <v>100</v>
      </c>
      <c r="E10" s="151">
        <v>576666</v>
      </c>
      <c r="F10" s="115">
        <f t="shared" si="1"/>
        <v>1.5704670087710593E-2</v>
      </c>
      <c r="G10" s="13">
        <f t="shared" ca="1" si="2"/>
        <v>21.885635245089439</v>
      </c>
      <c r="H10" s="20">
        <f>E10+T$4*E$4+T$5*E$5+T$6*E$6+T$7*E$7+T$8*E$8+T$9*E$9+T$3*E$3+T$11*E$11+E$12*T$12+E$13*T$13</f>
        <v>2434603.8904034141</v>
      </c>
      <c r="I10" s="67">
        <f ca="1">T$21*E$4+T$22*E$5+T$23*E$6+T$24*E$7+T$25*E$8+T$26*E$9+T$20*E$3+T$28*E$11+E$12*T$29+E$13*T$30+E$14*T$31+B17*T$32+B19*T$33</f>
        <v>1107181.6465251169</v>
      </c>
      <c r="J10" s="87">
        <f t="shared" si="3"/>
        <v>1</v>
      </c>
      <c r="K10" s="64" t="s">
        <v>100</v>
      </c>
      <c r="L10" s="4">
        <v>0.05</v>
      </c>
      <c r="M10" s="79">
        <f t="shared" si="4"/>
        <v>0.10410958904109589</v>
      </c>
      <c r="N10" s="79">
        <f t="shared" si="15"/>
        <v>0.14315068493150684</v>
      </c>
      <c r="O10" s="4">
        <f t="shared" si="5"/>
        <v>0.13013698630136988</v>
      </c>
      <c r="P10" s="4">
        <f t="shared" si="6"/>
        <v>1.3013698630136987E-2</v>
      </c>
      <c r="Q10" s="4">
        <f t="shared" si="7"/>
        <v>0.14315068493150684</v>
      </c>
      <c r="R10" s="4">
        <f t="shared" si="8"/>
        <v>0</v>
      </c>
      <c r="S10" s="4">
        <f t="shared" si="9"/>
        <v>0.11712328767123288</v>
      </c>
      <c r="T10" s="71"/>
      <c r="U10" s="4">
        <f t="shared" si="11"/>
        <v>9.1095890410958905E-2</v>
      </c>
      <c r="V10" s="4">
        <f t="shared" si="12"/>
        <v>0.10410958904109589</v>
      </c>
      <c r="W10" s="4">
        <f t="shared" si="13"/>
        <v>1.3013698630136987E-2</v>
      </c>
      <c r="X10" s="4">
        <f t="shared" si="14"/>
        <v>9.1095890410958905E-2</v>
      </c>
      <c r="Y10" s="75"/>
      <c r="Z10" s="99" t="s">
        <v>100</v>
      </c>
      <c r="AA10" s="112"/>
      <c r="AB10" s="112">
        <f>Proposition!S$24*2+Proposition!S$26+Proposition!S$31+Proposition!S$44</f>
        <v>2</v>
      </c>
      <c r="AC10" s="112">
        <f>Proposition!S$24*2+Proposition!S$31+Proposition!S$32</f>
        <v>5</v>
      </c>
      <c r="AD10" s="112">
        <f>Proposition!S$24*3+Proposition!S$31+Proposition!S$41</f>
        <v>4</v>
      </c>
      <c r="AE10" s="112">
        <f>Proposition!S$27+Proposition!S$31+Proposition!S$35+Proposition!S$37</f>
        <v>-5</v>
      </c>
      <c r="AF10" s="112">
        <f>Proposition!S$24*3+Proposition!S$31</f>
        <v>5</v>
      </c>
      <c r="AG10" s="112">
        <f>Proposition!S$27+Proposition!S$26*2+Proposition!S$31</f>
        <v>-6</v>
      </c>
      <c r="AH10" s="112">
        <f>Proposition!S$24*2+Proposition!S$31</f>
        <v>3</v>
      </c>
      <c r="AI10" s="112"/>
      <c r="AJ10" s="112">
        <f>Proposition!S$24+Proposition!S$31</f>
        <v>1</v>
      </c>
      <c r="AK10" s="112">
        <f>Proposition!S$24*3+Proposition!S$26+Proposition!S$28+Proposition!S$31+Proposition!S$34+Proposition!S$42</f>
        <v>2</v>
      </c>
      <c r="AL10" s="112">
        <f>Proposition!S$27+Proposition!S$26+Proposition!S$28+Proposition!S$31+Proposition!S$34+Proposition!S$41</f>
        <v>-5</v>
      </c>
      <c r="AM10" s="112">
        <f>Proposition!S$24+Proposition!S$31</f>
        <v>1</v>
      </c>
      <c r="AN10" s="86">
        <f>SUM(AB10-MIN(AB10:AM10),AC10-MIN(AB10:AM10),AD10-MIN(AB10:AM10),AE10-MIN(AB10:AM10),AF10-MIN(AB10:AM10),AG10-MIN(AB10:AM10),AH10-MIN(AB10:AM10),AJ10-MIN(AB10:AM10),AK10-MIN(AB10:AM10),AL10-MIN(AB10:AM10),AM10-MIN(AB10:AM10))+(L10*SUM(AB10-MIN(AB10:AM10),AC10-MIN(AB10:AM10),AD10-MIN(AB10:AM10),AE10-MIN(AB10:AM10),AF10-MIN(AB10:AM10),AG10-MIN(AB10:AM10),AH10-MIN(AB10:AM10),AJ10-MIN(AB10:AM10),AK10-MIN(AB10:AM10),AL10-MIN(AB10:AM10),AM10-MIN(AB10:AM10)))/(1-L10)</f>
        <v>76.84210526315789</v>
      </c>
      <c r="AO10" s="99"/>
    </row>
    <row r="11" spans="1:41" x14ac:dyDescent="0.25">
      <c r="A11" s="130"/>
      <c r="B11" t="s">
        <v>101</v>
      </c>
      <c r="D11" s="45" t="s">
        <v>76</v>
      </c>
      <c r="E11" s="151">
        <v>487857</v>
      </c>
      <c r="F11" s="115">
        <f t="shared" si="1"/>
        <v>1.3286084553242651E-2</v>
      </c>
      <c r="G11" s="13">
        <f t="shared" ca="1" si="2"/>
        <v>4.3586833265086389</v>
      </c>
      <c r="H11" s="20">
        <f>E11+U$4*E$4+U$5*E$5+U$6*E$6+U$7*E$7+U$8*E$8+U$9*E$9+U$10*E$10+U$3*E$3+E$12*U$12+E$13*U$13+E$14*U$14</f>
        <v>1355669.5157502291</v>
      </c>
      <c r="I11" s="67">
        <f ca="1">U$21*E$4+U$22*E$5+U$23*E$6+U$24*E$7+U$25*E$8+U$26*E$9+U$27*E$10+U$20*E$3+E$12*U$29+E$13*U$30+E$14*U$31+B17*U$32+B19*U$33</f>
        <v>4139105.3239471433</v>
      </c>
      <c r="J11" s="87">
        <f t="shared" si="3"/>
        <v>1</v>
      </c>
      <c r="K11" s="45" t="s">
        <v>76</v>
      </c>
      <c r="L11" s="4">
        <v>0.03</v>
      </c>
      <c r="M11" s="79">
        <f t="shared" si="4"/>
        <v>3.0312500000000003E-2</v>
      </c>
      <c r="N11" s="79">
        <f t="shared" si="15"/>
        <v>0.16671875000000003</v>
      </c>
      <c r="O11" s="4">
        <f t="shared" si="5"/>
        <v>4.5468750000000002E-2</v>
      </c>
      <c r="P11" s="4">
        <f t="shared" si="6"/>
        <v>3.0312500000000003E-2</v>
      </c>
      <c r="Q11" s="4">
        <f t="shared" si="7"/>
        <v>9.0937500000000004E-2</v>
      </c>
      <c r="R11" s="4">
        <f t="shared" si="8"/>
        <v>9.0937500000000004E-2</v>
      </c>
      <c r="S11" s="4">
        <f t="shared" si="9"/>
        <v>0.13640625000000001</v>
      </c>
      <c r="T11" s="4">
        <f t="shared" si="10"/>
        <v>0.12125000000000001</v>
      </c>
      <c r="U11" s="71"/>
      <c r="V11" s="4">
        <f t="shared" si="12"/>
        <v>0.12125000000000001</v>
      </c>
      <c r="W11" s="4">
        <f t="shared" si="13"/>
        <v>0</v>
      </c>
      <c r="X11" s="4">
        <f t="shared" si="14"/>
        <v>0.13640625000000001</v>
      </c>
      <c r="Y11" s="75"/>
      <c r="Z11" s="99" t="s">
        <v>76</v>
      </c>
      <c r="AA11" s="112"/>
      <c r="AB11" s="112">
        <f>Proposition!S$27+Proposition!S$29+Proposition!S$31+Proposition!S$33+Proposition!S$44</f>
        <v>-5</v>
      </c>
      <c r="AC11" s="112">
        <f>Proposition!S$24*3+Proposition!S$28+Proposition!S$31+Proposition!S$33</f>
        <v>4</v>
      </c>
      <c r="AD11" s="112">
        <f>Proposition!S$24+Proposition!S$29+Proposition!S$31+Proposition!S$33+Proposition!S$41</f>
        <v>-4</v>
      </c>
      <c r="AE11" s="112">
        <f>Proposition!S$27+Proposition!S$29+Proposition!S$31+Proposition!S$37</f>
        <v>-5</v>
      </c>
      <c r="AF11" s="112">
        <f>Proposition!S$27+Proposition!S$28+Proposition!S$30+Proposition!S$36</f>
        <v>-1</v>
      </c>
      <c r="AG11" s="112">
        <f>Proposition!S$24+Proposition!S$29+Proposition!S$31</f>
        <v>-1</v>
      </c>
      <c r="AH11" s="112">
        <f>Proposition!S$24+Proposition!S$28+Proposition!S$31</f>
        <v>2</v>
      </c>
      <c r="AI11" s="112">
        <f>Proposition!S$24+Proposition!S$31</f>
        <v>1</v>
      </c>
      <c r="AJ11" s="112"/>
      <c r="AK11" s="112">
        <f>Proposition!S$24+Proposition!S$28+Proposition!S$31+Proposition!S$42</f>
        <v>1</v>
      </c>
      <c r="AL11" s="112">
        <f>Proposition!S$27+Proposition!S$29+Proposition!S$31+Proposition!S$36+Proposition!S$41</f>
        <v>-7</v>
      </c>
      <c r="AM11" s="112">
        <f>Proposition!S$24+Proposition!S$28+Proposition!S$30+Proposition!S$36</f>
        <v>2</v>
      </c>
      <c r="AN11" s="86">
        <f>SUM(AB11-MIN(AB11:AM11),AC11-MIN(AB11:AM11),AD11-MIN(AB11:AM11),AE11-MIN(AB11:AM11),AF11-MIN(AB11:AM11),AG11-MIN(AB11:AM11),AH11-MIN(AB11:AM11),AI11-MIN(AB11:AM11),AK11-MIN(AB11:AM11),AL11-MIN(AB11:AM11),AM11-MIN(AB11:AM11))+(L11*SUM(AB11-MIN(AB11:AM11),AC11-MIN(AB11:AM11),AD11-MIN(AB11:AM11),AE11-MIN(AB11:AM11),AF11-MIN(AB11:AM11),AG11-MIN(AB11:AM11),AH11-MIN(AB11:AM11),AI11-MIN(AB11:AM11),AK11-MIN(AB11:AM11),AL11-MIN(AB11:AM11),AM11-MIN(AB11:AM11)))/(1-L11)</f>
        <v>65.979381443298962</v>
      </c>
      <c r="AO11" s="99"/>
    </row>
    <row r="12" spans="1:41" x14ac:dyDescent="0.25">
      <c r="A12" s="130"/>
      <c r="B12" t="s">
        <v>102</v>
      </c>
      <c r="D12" s="48" t="s">
        <v>103</v>
      </c>
      <c r="E12" s="151">
        <v>483008</v>
      </c>
      <c r="F12" s="115">
        <f t="shared" si="1"/>
        <v>1.3154029004180787E-2</v>
      </c>
      <c r="G12" s="13">
        <f t="shared" ca="1" si="2"/>
        <v>5.9919576935549861</v>
      </c>
      <c r="H12" s="20">
        <f>E12+V$4*E$4+V$5*E$5+V$6*E$6+V$7*E$7+V$8*E$8+V$9*E$9+V$10*E$10+V$11*E$11+E$3*V$3+E$13*V$13+E$14*V$14</f>
        <v>1395356.8008444605</v>
      </c>
      <c r="I12" s="67">
        <f ca="1">V$21*E$4+V$22*E$5+V$23*E$6+V$24*E$7+V$25*E$8+V$26*E$9+V$27*E$10+V$28*E$11+E$3*V$20+E$13*V$30+E$14*V$31+B17*V$32+B19*V$33</f>
        <v>3582724.6417003283</v>
      </c>
      <c r="J12" s="87">
        <f t="shared" si="3"/>
        <v>1</v>
      </c>
      <c r="K12" s="48" t="s">
        <v>103</v>
      </c>
      <c r="L12" s="4">
        <v>0.02</v>
      </c>
      <c r="M12" s="79">
        <f t="shared" si="4"/>
        <v>7.0000000000000007E-2</v>
      </c>
      <c r="N12" s="79">
        <f t="shared" si="15"/>
        <v>0.15</v>
      </c>
      <c r="O12" s="4">
        <f t="shared" si="5"/>
        <v>0</v>
      </c>
      <c r="P12" s="4">
        <f t="shared" si="6"/>
        <v>0.02</v>
      </c>
      <c r="Q12" s="4">
        <f t="shared" si="7"/>
        <v>0.15</v>
      </c>
      <c r="R12" s="4">
        <f t="shared" si="8"/>
        <v>0.08</v>
      </c>
      <c r="S12" s="4">
        <f t="shared" si="9"/>
        <v>0.11</v>
      </c>
      <c r="T12" s="4">
        <f t="shared" si="10"/>
        <v>0.14000000000000001</v>
      </c>
      <c r="U12" s="4">
        <f t="shared" si="11"/>
        <v>0.1</v>
      </c>
      <c r="V12" s="71"/>
      <c r="W12" s="4">
        <f t="shared" si="13"/>
        <v>0.03</v>
      </c>
      <c r="X12" s="4">
        <f t="shared" si="14"/>
        <v>0.13</v>
      </c>
      <c r="Y12" s="75"/>
      <c r="Z12" s="99" t="s">
        <v>103</v>
      </c>
      <c r="AA12" s="112"/>
      <c r="AB12" s="112">
        <f>Proposition!S$24+Proposition!S$29+Proposition!S$31+Proposition!S$33+Proposition!S$44</f>
        <v>-2</v>
      </c>
      <c r="AC12" s="112">
        <f>Proposition!S$24*3+Proposition!S$28+Proposition!S$31</f>
        <v>6</v>
      </c>
      <c r="AD12" s="112">
        <f>Proposition!S$27+Proposition!S$26+Proposition!S$29+Proposition!S$31+Proposition!S$33+Proposition!S$41</f>
        <v>-9</v>
      </c>
      <c r="AE12" s="112">
        <f>Proposition!S$27+Proposition!S$26+Proposition!S$29+Proposition!S$31+Proposition!S$37</f>
        <v>-7</v>
      </c>
      <c r="AF12" s="112">
        <f>Proposition!S$24*3+Proposition!S$25+Proposition!S$28+Proposition!S$31+Proposition!S$34</f>
        <v>6</v>
      </c>
      <c r="AG12" s="112">
        <f>Proposition!S$24*2+Proposition!S$29+Proposition!S$31+Proposition!S$33</f>
        <v>-1</v>
      </c>
      <c r="AH12" s="112">
        <f>Proposition!S$24*2+Proposition!S$26+Proposition!S$28+Proposition!S$31</f>
        <v>2</v>
      </c>
      <c r="AI12" s="112">
        <f>Proposition!S$24*3+Proposition!S$26+Proposition!S$28</f>
        <v>5</v>
      </c>
      <c r="AJ12" s="112">
        <f>Proposition!S$24+Proposition!S$28+Proposition!S$31+Proposition!S$34</f>
        <v>1</v>
      </c>
      <c r="AK12" s="112"/>
      <c r="AL12" s="112">
        <f>Proposition!S$27+Proposition!S$28+Proposition!S$29+Proposition!S$31+Proposition!S$33+Proposition!S$41</f>
        <v>-6</v>
      </c>
      <c r="AM12" s="112">
        <f>Proposition!S$24*2+Proposition!S$28+Proposition!S$31</f>
        <v>4</v>
      </c>
      <c r="AN12" s="86">
        <f>SUM(AB12-MIN(AB12:AM12),AC12-MIN(AB12:AM12),AD12-MIN(AB12:AM12),AE12-MIN(AB12:AM12),AF12-MIN(AB12:AM12),AG12-MIN(AB12:AM12),AH12-MIN(AB12:AM12),AI12-MIN(AB12:AM12),AJ12-MIN(AB12:AM12),AL12-MIN(AB12:AM12),AM12-MIN(AB12:AM12))+(L12*SUM(AB12-MIN(AB12:AM12),AC12-MIN(AB12:AM12),AD12-MIN(AB12:AM12),AE12-MIN(AB12:AM12),AF12-MIN(AB12:AM12),AG12-MIN(AB12:AM12),AH12-MIN(AB12:AM12),AI12-MIN(AB12:AM12),AJ12-MIN(AB12:AM12),AL12-MIN(AB12:AM12),AM12-MIN(AB12:AM12)))/(1-L12)</f>
        <v>100</v>
      </c>
      <c r="AO12" s="99"/>
    </row>
    <row r="13" spans="1:41" x14ac:dyDescent="0.25">
      <c r="A13" s="130"/>
      <c r="B13" t="s">
        <v>104</v>
      </c>
      <c r="D13" s="66" t="s">
        <v>105</v>
      </c>
      <c r="E13" s="151">
        <v>420645</v>
      </c>
      <c r="F13" s="115">
        <f t="shared" si="1"/>
        <v>1.1455662288126962E-2</v>
      </c>
      <c r="G13" s="13">
        <f t="shared" ca="1" si="2"/>
        <v>6.1279081981356445</v>
      </c>
      <c r="H13" s="20">
        <f>E13+W$4*E$4+W$5*E$5+W$6*E$6+W$7*E$7+W$8*E$8+W$9*E$9+W$10*E$10+W$11*E$11+E$12*W$12+E$3*W$3+E$14*W$14</f>
        <v>1439731.468500501</v>
      </c>
      <c r="I13" s="67">
        <f ca="1">W$21*E$4+W$22*E$5+W$23*E$6+W$24*E$7+W$25*E$8+W$26*E$9+W$27*E$10+W$28*E$11+E$12*W$29+E$3*W$20+E$14*W$31+B17*W$32+B19*W$33</f>
        <v>3721232.9190912149</v>
      </c>
      <c r="J13" s="87">
        <f t="shared" si="3"/>
        <v>0.99999999999999989</v>
      </c>
      <c r="K13" s="66" t="s">
        <v>105</v>
      </c>
      <c r="L13" s="4">
        <v>0.01</v>
      </c>
      <c r="M13" s="79">
        <f t="shared" si="4"/>
        <v>0.18</v>
      </c>
      <c r="N13" s="79">
        <f t="shared" si="15"/>
        <v>0.06</v>
      </c>
      <c r="O13" s="4">
        <f t="shared" si="5"/>
        <v>0.06</v>
      </c>
      <c r="P13" s="4">
        <f t="shared" si="6"/>
        <v>0.12</v>
      </c>
      <c r="Q13" s="4">
        <f t="shared" si="7"/>
        <v>0</v>
      </c>
      <c r="R13" s="4">
        <f t="shared" si="8"/>
        <v>0.3</v>
      </c>
      <c r="S13" s="4">
        <f t="shared" si="9"/>
        <v>0</v>
      </c>
      <c r="T13" s="4">
        <f t="shared" si="10"/>
        <v>0.12</v>
      </c>
      <c r="U13" s="4">
        <f t="shared" si="11"/>
        <v>0</v>
      </c>
      <c r="V13" s="4">
        <f t="shared" si="12"/>
        <v>0.06</v>
      </c>
      <c r="W13" s="71"/>
      <c r="X13" s="4">
        <f t="shared" si="14"/>
        <v>0.09</v>
      </c>
      <c r="Y13" s="75"/>
      <c r="Z13" s="99" t="s">
        <v>105</v>
      </c>
      <c r="AA13" s="112"/>
      <c r="AB13" s="112">
        <f>Proposition!S$27+Proposition!S$28+Proposition!S$31+Proposition!S$44</f>
        <v>0</v>
      </c>
      <c r="AC13" s="112">
        <f>Proposition!S$27+Proposition!S$29+Proposition!S$31</f>
        <v>-4</v>
      </c>
      <c r="AD13" s="112">
        <f>Proposition!S$27+Proposition!S$26+Proposition!S$28+Proposition!S$31+Proposition!S$41</f>
        <v>-4</v>
      </c>
      <c r="AE13" s="112">
        <f>Proposition!S$24+Proposition!S$28+Proposition!S$31+Proposition!S$34+Proposition!S$36+Proposition!S$37</f>
        <v>-2</v>
      </c>
      <c r="AF13" s="112">
        <f>Proposition!S$27+Proposition!S$29+Proposition!S$31+Proposition!S$36</f>
        <v>-6</v>
      </c>
      <c r="AG13" s="112">
        <f>Proposition!S$24*2+Proposition!S$28+Proposition!S$31</f>
        <v>4</v>
      </c>
      <c r="AH13" s="112">
        <f>Proposition!S$27+Proposition!S$26+Proposition!S$29+Proposition!S$31</f>
        <v>-6</v>
      </c>
      <c r="AI13" s="112">
        <f>Proposition!S$27+Proposition!S$26+Proposition!S$28</f>
        <v>-2</v>
      </c>
      <c r="AJ13" s="112">
        <f>Proposition!S$27+Proposition!S$29+Proposition!S$31+Proposition!S$36</f>
        <v>-6</v>
      </c>
      <c r="AK13" s="112">
        <f>Proposition!S$27+Proposition!S$28+Proposition!S$29+Proposition!S$31+Proposition!S$42</f>
        <v>-4</v>
      </c>
      <c r="AL13" s="112"/>
      <c r="AM13" s="112">
        <f>Proposition!S$24+Proposition!S$29+Proposition!S$31+Proposition!S$36</f>
        <v>-3</v>
      </c>
      <c r="AN13" s="86">
        <f>SUM(AB13-MIN(AB13:AM13),AC13-MIN(AB13:AM13),AD13-MIN(AB13:AM13),AE13-MIN(AB13:AM13),AF13-MIN(AB13:AM13),AG13-MIN(AB13:AM13),AH13-MIN(AB13:AM13),AI13-MIN(AB13:AM13),AJ13-MIN(AB13:AM13),AK13-MIN(AB13:AM13),AM13-MIN(AB13:AM13))+(L13*SUM(AB13-MIN(AB13:AM13),AC13-MIN(AB13:AM13),AD13-MIN(AB13:AM13),AE13-MIN(AB13:AM13),AF13-MIN(AB13:AM13),AG13-MIN(AB13:AM13),AH13-MIN(AB13:AM13),AI13-MIN(AB13:AM13),AJ13-MIN(AB13:AM13),AK13-MIN(AB13:AM13),AM13-MIN(AB13:AM13)))/(1-L13)</f>
        <v>33.333333333333336</v>
      </c>
      <c r="AO13" s="99"/>
    </row>
    <row r="14" spans="1:41" ht="15.75" thickBot="1" x14ac:dyDescent="0.3">
      <c r="A14" s="130"/>
      <c r="B14" t="s">
        <v>106</v>
      </c>
      <c r="D14" s="45" t="s">
        <v>107</v>
      </c>
      <c r="E14" s="151">
        <v>123540</v>
      </c>
      <c r="F14" s="115">
        <f t="shared" si="1"/>
        <v>3.3644344258821689E-3</v>
      </c>
      <c r="G14" s="14">
        <f t="shared" ca="1" si="2"/>
        <v>1.4740956606593798</v>
      </c>
      <c r="H14" s="20">
        <f>E14+X$4*E$4+X$5*E$5+X$6*E$6+X$7*E$7+X$8*E$8+X$9*E$9+X$10*E$10+X$11*E$11+E$12*X$12+E$13*X$13+E$3*X$3</f>
        <v>965298.04404535971</v>
      </c>
      <c r="I14" s="67">
        <f ca="1">X$21*E$4+X$22*E$5+X$23*E$6+X$24*E$7+X$25*E$8+X$26*E$9+X$27*E$10+X$28*E$11+E$12*X$29+E$13*X$30+E$3*X$20+B17*X$32+B19*X$33</f>
        <v>3680498.1509073977</v>
      </c>
      <c r="J14" s="87">
        <f t="shared" si="3"/>
        <v>0.99999999999999989</v>
      </c>
      <c r="K14" s="45" t="s">
        <v>107</v>
      </c>
      <c r="L14" s="75">
        <v>0.01</v>
      </c>
      <c r="M14" s="79">
        <f t="shared" si="4"/>
        <v>9.7605633802816893E-2</v>
      </c>
      <c r="N14" s="79">
        <f t="shared" si="15"/>
        <v>0.12549295774647887</v>
      </c>
      <c r="O14" s="4">
        <f t="shared" si="5"/>
        <v>0</v>
      </c>
      <c r="P14" s="4">
        <f t="shared" si="6"/>
        <v>0</v>
      </c>
      <c r="Q14" s="4">
        <f t="shared" si="7"/>
        <v>0.15338028169014084</v>
      </c>
      <c r="R14" s="4">
        <f t="shared" si="8"/>
        <v>0.11154929577464788</v>
      </c>
      <c r="S14" s="4">
        <f t="shared" si="9"/>
        <v>8.3661971830985907E-2</v>
      </c>
      <c r="T14" s="4">
        <f t="shared" si="10"/>
        <v>0.11154929577464788</v>
      </c>
      <c r="U14" s="4">
        <f t="shared" si="11"/>
        <v>0.12549295774647887</v>
      </c>
      <c r="V14" s="4">
        <f t="shared" si="12"/>
        <v>0.13943661971830984</v>
      </c>
      <c r="W14" s="4">
        <f t="shared" si="13"/>
        <v>4.1830985915492953E-2</v>
      </c>
      <c r="X14" s="71"/>
      <c r="Y14" s="75"/>
      <c r="Z14" s="99" t="s">
        <v>107</v>
      </c>
      <c r="AA14" s="112"/>
      <c r="AB14" s="112">
        <f>Proposition!S$24+Proposition!S$29+Proposition!S$31+Proposition!S$44</f>
        <v>0</v>
      </c>
      <c r="AC14" s="112">
        <f>Proposition!S$24+Proposition!S$28+Proposition!S$31</f>
        <v>2</v>
      </c>
      <c r="AD14" s="112">
        <f>Proposition!S$27+Proposition!S$26+Proposition!S$29+Proposition!S$31+Proposition!S$41</f>
        <v>-7</v>
      </c>
      <c r="AE14" s="112">
        <f>Proposition!S$27+Proposition!S$29+Proposition!S$31+Proposition!S$36+Proposition!S$37</f>
        <v>-7</v>
      </c>
      <c r="AF14" s="112">
        <f>Proposition!S$24*2+Proposition!S$28+Proposition!S$30+Proposition!S$36</f>
        <v>4</v>
      </c>
      <c r="AG14" s="112">
        <f>Proposition!S$24*2+Proposition!S$29+Proposition!S$31</f>
        <v>1</v>
      </c>
      <c r="AH14" s="112">
        <f>Proposition!S$27+Proposition!S$28+Proposition!S$31</f>
        <v>-1</v>
      </c>
      <c r="AI14" s="112">
        <f>Proposition!S$24+Proposition!S$31</f>
        <v>1</v>
      </c>
      <c r="AJ14" s="112">
        <f>Proposition!S$24+Proposition!S$28+Proposition!S$30+Proposition!S$36</f>
        <v>2</v>
      </c>
      <c r="AK14" s="112">
        <f>Proposition!S$24*2+Proposition!S$28+Proposition!S$31+Proposition!S$42</f>
        <v>3</v>
      </c>
      <c r="AL14" s="112">
        <f>Proposition!S$24+Proposition!S$29+Proposition!S$31+Proposition!S$36+Proposition!S$41</f>
        <v>-4</v>
      </c>
      <c r="AM14" s="112"/>
      <c r="AN14" s="86">
        <f>SUM(AB14-MIN(AB14:AM14),AC14-MIN(AB14:AM14),AD14-MIN(AB14:AM14),AE14-MIN(AB14:AM14),AF14-MIN(AB14:AM14),AG14-MIN(AB14:AM14),AH14-MIN(AB14:AM14),AI14-MIN(AB14:AM14),AJ14-MIN(AB14:AM14),AK14-MIN(AB14:AM14),AL14-MIN(AB14:AM14))+(L14*SUM(AB14-MIN(AB14:AM14),AC14-MIN(AB14:AM14),AD14-MIN(AB14:AM14),AE14-MIN(AB14:AM14),AF14-MIN(AB14:AM14),AG14-MIN(AB14:AM14),AH14-MIN(AB14:AM14),AI14-MIN(AB14:AM14),AJ14-MIN(AB14:AM14),AK14-MIN(AB14:AM14),AL14-MIN(AB14:AM14)))/(1-L14)</f>
        <v>71.717171717171723</v>
      </c>
      <c r="AO14" s="99"/>
    </row>
    <row r="15" spans="1:41" x14ac:dyDescent="0.25">
      <c r="H15" s="20"/>
      <c r="I15" s="67"/>
      <c r="J15" s="87"/>
      <c r="L15" s="4"/>
      <c r="M15" s="79"/>
      <c r="N15" s="79"/>
      <c r="O15" s="4"/>
      <c r="P15" s="4"/>
      <c r="Q15" s="4"/>
      <c r="R15" s="4"/>
      <c r="S15" s="4"/>
      <c r="T15" s="4"/>
      <c r="U15" s="4"/>
      <c r="V15" s="4"/>
      <c r="W15" s="4"/>
      <c r="X15" s="4"/>
      <c r="Y15" s="75"/>
      <c r="Z15" s="99"/>
      <c r="AA15" s="112"/>
      <c r="AB15" s="112"/>
      <c r="AC15" s="112"/>
      <c r="AD15" s="112"/>
      <c r="AE15" s="112"/>
      <c r="AF15" s="112"/>
      <c r="AG15" s="112"/>
      <c r="AH15" s="112"/>
      <c r="AI15" s="112"/>
      <c r="AJ15" s="112"/>
      <c r="AK15" s="112"/>
      <c r="AL15" s="112"/>
      <c r="AM15" s="112"/>
      <c r="AN15" s="99"/>
      <c r="AO15" s="99"/>
    </row>
    <row r="16" spans="1:41" x14ac:dyDescent="0.25">
      <c r="A16" s="1" t="s">
        <v>79</v>
      </c>
      <c r="B16" s="152">
        <v>36719396</v>
      </c>
      <c r="H16" s="20"/>
      <c r="I16" s="67"/>
      <c r="J16" s="87"/>
      <c r="K16" t="s">
        <v>136</v>
      </c>
      <c r="L16" s="4"/>
      <c r="M16" s="79">
        <f>AVERAGE(M5:M14)</f>
        <v>7.9558593185522386E-2</v>
      </c>
      <c r="N16" s="79">
        <f>AVERAGE(N5:N14)</f>
        <v>0.11296091139586592</v>
      </c>
      <c r="O16" s="4"/>
      <c r="P16" s="4"/>
      <c r="Q16" s="4"/>
      <c r="R16" s="4"/>
      <c r="S16" s="4"/>
      <c r="T16" s="4"/>
      <c r="U16" s="4"/>
      <c r="V16" s="4"/>
      <c r="W16" s="4"/>
      <c r="X16" s="4"/>
      <c r="Y16" s="75"/>
      <c r="Z16" s="99"/>
      <c r="AA16" s="112"/>
      <c r="AB16" s="112"/>
      <c r="AC16" s="112"/>
      <c r="AD16" s="112"/>
      <c r="AE16" s="112"/>
      <c r="AF16" s="112"/>
      <c r="AG16" s="112"/>
      <c r="AH16" s="112"/>
      <c r="AI16" s="112"/>
      <c r="AJ16" s="112"/>
      <c r="AK16" s="112"/>
      <c r="AL16" s="112"/>
      <c r="AM16" s="112"/>
      <c r="AN16" s="99"/>
      <c r="AO16" s="99"/>
    </row>
    <row r="17" spans="1:41" x14ac:dyDescent="0.25">
      <c r="A17" t="s">
        <v>91</v>
      </c>
      <c r="B17" s="25">
        <v>534846</v>
      </c>
      <c r="H17" s="20"/>
      <c r="I17" s="67"/>
      <c r="J17" s="87"/>
      <c r="L17" s="4"/>
      <c r="M17" s="80" t="s">
        <v>153</v>
      </c>
      <c r="N17" s="80" t="s">
        <v>154</v>
      </c>
      <c r="O17" s="4"/>
      <c r="P17" s="4"/>
      <c r="Q17" s="4"/>
      <c r="R17" s="4"/>
      <c r="S17" s="4"/>
      <c r="T17" s="4"/>
      <c r="U17" s="4"/>
      <c r="V17" s="4"/>
      <c r="W17" s="4"/>
      <c r="X17" s="4"/>
      <c r="Y17" s="75"/>
      <c r="Z17" s="99"/>
      <c r="AA17" s="112"/>
      <c r="AB17" s="112"/>
      <c r="AC17" s="112"/>
      <c r="AD17" s="112"/>
      <c r="AE17" s="112"/>
      <c r="AF17" s="112"/>
      <c r="AG17" s="112"/>
      <c r="AH17" s="112"/>
      <c r="AI17" s="112"/>
      <c r="AJ17" s="112"/>
      <c r="AK17" s="112"/>
      <c r="AL17" s="112"/>
      <c r="AM17" s="112"/>
      <c r="AN17" s="99"/>
      <c r="AO17" s="99"/>
    </row>
    <row r="18" spans="1:41" x14ac:dyDescent="0.25">
      <c r="A18" s="1" t="s">
        <v>82</v>
      </c>
      <c r="B18" s="152">
        <v>37254242</v>
      </c>
      <c r="H18" s="20"/>
      <c r="I18" s="67"/>
      <c r="J18" s="87"/>
      <c r="L18" s="4"/>
      <c r="M18" s="4"/>
      <c r="N18" s="4"/>
      <c r="O18" s="4"/>
      <c r="P18" s="4"/>
      <c r="Q18" s="4"/>
      <c r="R18" s="4"/>
      <c r="S18" s="4"/>
      <c r="T18" s="4"/>
      <c r="U18" s="4"/>
      <c r="V18" s="4"/>
      <c r="W18" s="4"/>
      <c r="X18" s="4"/>
      <c r="Y18" s="75"/>
      <c r="Z18" s="99"/>
      <c r="AA18" s="112"/>
      <c r="AB18" s="112"/>
      <c r="AC18" s="112"/>
      <c r="AD18" s="112"/>
      <c r="AE18" s="112"/>
      <c r="AF18" s="112"/>
      <c r="AG18" s="112"/>
      <c r="AH18" s="112"/>
      <c r="AI18" s="112"/>
      <c r="AJ18" s="112"/>
      <c r="AK18" s="112"/>
      <c r="AL18" s="112"/>
      <c r="AM18" s="112"/>
      <c r="AN18" s="99"/>
      <c r="AO18" s="99"/>
    </row>
    <row r="19" spans="1:41" x14ac:dyDescent="0.25">
      <c r="A19" t="s">
        <v>15</v>
      </c>
      <c r="B19" s="25">
        <v>7218592</v>
      </c>
      <c r="J19" s="87"/>
      <c r="L19" s="69"/>
      <c r="M19" s="46"/>
      <c r="N19" s="45"/>
      <c r="O19" s="46"/>
      <c r="P19" s="47"/>
      <c r="Q19" s="65"/>
      <c r="R19" s="46"/>
      <c r="S19" s="45"/>
      <c r="T19" s="64"/>
      <c r="U19" s="45"/>
      <c r="V19" s="48"/>
      <c r="W19" s="66"/>
      <c r="X19" s="45"/>
      <c r="Z19" s="99"/>
      <c r="AA19" s="99"/>
      <c r="AB19" s="99"/>
      <c r="AC19" s="99"/>
      <c r="AD19" s="99"/>
      <c r="AE19" s="99"/>
      <c r="AF19" s="99"/>
      <c r="AG19" s="99"/>
      <c r="AH19" s="99"/>
      <c r="AI19" s="99"/>
      <c r="AJ19" s="99"/>
      <c r="AK19" s="99"/>
      <c r="AL19" s="99"/>
      <c r="AM19" s="99"/>
      <c r="AN19" s="99"/>
      <c r="AO19" s="99"/>
    </row>
    <row r="20" spans="1:41" x14ac:dyDescent="0.25">
      <c r="A20" s="1" t="s">
        <v>83</v>
      </c>
      <c r="B20" s="152">
        <v>44472834</v>
      </c>
      <c r="J20" s="87">
        <f t="shared" ca="1" si="3"/>
        <v>0.99999999999999989</v>
      </c>
      <c r="K20" s="46" t="s">
        <v>84</v>
      </c>
      <c r="L20" s="4">
        <f ca="1">RANDBETWEEN(5,10)/100</f>
        <v>0.06</v>
      </c>
      <c r="M20" s="70"/>
      <c r="N20" s="4">
        <f ca="1">(AC20-MIN($AB20:$AM20))/$AN20</f>
        <v>3.4814814814814812E-2</v>
      </c>
      <c r="O20" s="4">
        <f t="shared" ref="O20:O21" ca="1" si="16">(AD20-MIN($AB20:$AM20))/$AN20</f>
        <v>3.4814814814814812E-2</v>
      </c>
      <c r="P20" s="4">
        <f t="shared" ref="P20:P22" ca="1" si="17">(AE20-MIN($AB20:$AM20))/$AN20</f>
        <v>0.17407407407407408</v>
      </c>
      <c r="Q20" s="4">
        <f t="shared" ref="Q20:Q23" ca="1" si="18">(AF20-MIN($AB20:$AM20))/$AN20</f>
        <v>6.9629629629629625E-2</v>
      </c>
      <c r="R20" s="4">
        <f t="shared" ref="R20:R24" ca="1" si="19">(AG20-MIN($AB20:$AM20))/$AN20</f>
        <v>0</v>
      </c>
      <c r="S20" s="4">
        <f t="shared" ref="S20:S25" ca="1" si="20">(AH20-MIN($AB20:$AM20))/$AN20</f>
        <v>0.17407407407407408</v>
      </c>
      <c r="T20" s="4">
        <f t="shared" ref="T20:T26" ca="1" si="21">(AI20-MIN($AB20:$AM20))/$AN20</f>
        <v>0</v>
      </c>
      <c r="U20" s="4">
        <f t="shared" ref="U20:U27" ca="1" si="22">(AJ20-MIN($AB20:$AM20))/$AN20</f>
        <v>0.17407407407407408</v>
      </c>
      <c r="V20" s="4">
        <f t="shared" ref="V20:V28" ca="1" si="23">(AK20-MIN($AB20:$AM20))/$AN20</f>
        <v>0.10444444444444444</v>
      </c>
      <c r="W20" s="4">
        <f t="shared" ref="W20:W29" ca="1" si="24">(AL20-MIN($AB20:$AM20))/$AN20</f>
        <v>6.9629629629629625E-2</v>
      </c>
      <c r="X20" s="4">
        <f t="shared" ref="X20:X30" ca="1" si="25">(AM20-MIN($AB20:$AM20))/$AN20</f>
        <v>0.10444444444444444</v>
      </c>
      <c r="Y20" s="75"/>
      <c r="Z20" s="99" t="s">
        <v>84</v>
      </c>
      <c r="AA20" s="112"/>
      <c r="AB20" s="112"/>
      <c r="AC20" s="112">
        <f>Proposition!T$24*2+Proposition!T$29+Proposition!T$31+Proposition!T$38</f>
        <v>3</v>
      </c>
      <c r="AD20" s="112">
        <f>Proposition!T$24+Proposition!T$28+Proposition!T$31+Proposition!T$38+Proposition!T$41</f>
        <v>3</v>
      </c>
      <c r="AE20" s="112">
        <f>Proposition!T$27+Proposition!T$28+Proposition!T$31+Proposition!T$34+Proposition!T$37+Proposition!T$38</f>
        <v>7</v>
      </c>
      <c r="AF20" s="112">
        <f>Proposition!T$24*2+Proposition!T$29+Proposition!T$31+Proposition!T$35</f>
        <v>4</v>
      </c>
      <c r="AG20" s="112">
        <f>Proposition!T$27+Proposition!T$28+Proposition!T$31</f>
        <v>2</v>
      </c>
      <c r="AH20" s="112">
        <f>Proposition!T$27+Proposition!T$26+Proposition!T$29+Proposition!T$31</f>
        <v>7</v>
      </c>
      <c r="AI20" s="112">
        <f>Proposition!T$24*2+Proposition!T$26+Proposition!T$31</f>
        <v>2</v>
      </c>
      <c r="AJ20" s="112">
        <f>Proposition!T$27+Proposition!T$29+Proposition!T$31+Proposition!T$35</f>
        <v>7</v>
      </c>
      <c r="AK20" s="112">
        <f>Proposition!T$24+Proposition!T$29+Proposition!T$31+Proposition!T$42</f>
        <v>5</v>
      </c>
      <c r="AL20" s="112">
        <f>Proposition!T$27+Proposition!T$28+Proposition!T$31+Proposition!T$41</f>
        <v>4</v>
      </c>
      <c r="AM20" s="112">
        <f>Proposition!T$24+Proposition!T$29+Proposition!T$31+Proposition!T$35</f>
        <v>5</v>
      </c>
      <c r="AN20" s="99">
        <f ca="1">SUM(AC20-MIN(AB20:AM20),AD20-MIN(AB20:AM20),AE20-MIN(AB20:AM20),AF20-MIN(AB20:AM20),AG20-MIN(AB20:AM20),AH20-MIN(AB20:AM20),AI20-MIN(AB20:AM20),AJ20-MIN(AB20:AM20),AK20-MIN(AB20:AM20),AL20-MIN(AB20:AM20),AM20-MIN(AB20:AM20))+(L20*SUM(AC20-MIN(AB20:AM20),AD20-MIN(AB20:AM20),AE20-MIN(AB20:AM20),AF20-MIN(AB20:AM20),AG20-MIN(AB20:AM20),AH20-MIN(AB20:AM20),AI20-MIN(AB20:AM20),AJ20-MIN(AB20:AM20),AK20-MIN(AB20:AM20),AL20-MIN(AB20:AM20),AM20-MIN(AB20:AM20)))/(1-L20)</f>
        <v>28.723404255319149</v>
      </c>
      <c r="AO20" s="99"/>
    </row>
    <row r="21" spans="1:41" x14ac:dyDescent="0.25">
      <c r="J21" s="87">
        <f t="shared" ca="1" si="3"/>
        <v>1</v>
      </c>
      <c r="K21" s="45" t="s">
        <v>66</v>
      </c>
      <c r="L21" s="4">
        <f t="shared" ref="L21:L31" ca="1" si="26">RANDBETWEEN(5,10)/100</f>
        <v>7.0000000000000007E-2</v>
      </c>
      <c r="M21" s="4">
        <f t="shared" ref="M21:M31" ca="1" si="27">(AB21-MIN($AB21:$AM21))/$AN21</f>
        <v>8.037037037037037E-2</v>
      </c>
      <c r="N21" s="71"/>
      <c r="O21" s="4">
        <f t="shared" ca="1" si="16"/>
        <v>9.1851851851851851E-2</v>
      </c>
      <c r="P21" s="4">
        <f t="shared" ca="1" si="17"/>
        <v>0.17222222222222222</v>
      </c>
      <c r="Q21" s="4">
        <f t="shared" ca="1" si="18"/>
        <v>0.10333333333333333</v>
      </c>
      <c r="R21" s="4">
        <f t="shared" ca="1" si="19"/>
        <v>9.1851851851851851E-2</v>
      </c>
      <c r="S21" s="4">
        <f t="shared" ca="1" si="20"/>
        <v>0</v>
      </c>
      <c r="T21" s="4">
        <f t="shared" ca="1" si="21"/>
        <v>5.7407407407407407E-2</v>
      </c>
      <c r="U21" s="4">
        <f t="shared" ca="1" si="22"/>
        <v>5.7407407407407407E-2</v>
      </c>
      <c r="V21" s="4">
        <f t="shared" ca="1" si="23"/>
        <v>5.7407407407407407E-2</v>
      </c>
      <c r="W21" s="4">
        <f t="shared" ca="1" si="24"/>
        <v>0.13777777777777778</v>
      </c>
      <c r="X21" s="4">
        <f t="shared" ca="1" si="25"/>
        <v>8.037037037037037E-2</v>
      </c>
      <c r="Y21" s="75"/>
      <c r="Z21" s="99" t="s">
        <v>66</v>
      </c>
      <c r="AA21" s="112"/>
      <c r="AB21" s="112">
        <f>Proposition!T$24*2+Proposition!T$29+Proposition!T$31+Proposition!T$38+Proposition!T$44</f>
        <v>2</v>
      </c>
      <c r="AC21" s="112"/>
      <c r="AD21" s="112">
        <f>Proposition!T$24*4+Proposition!T$29+Proposition!T$31+Proposition!T$38+Proposition!T$41</f>
        <v>3</v>
      </c>
      <c r="AE21" s="112">
        <f>Proposition!T$27+Proposition!T$29+Proposition!T$31+Proposition!T$35+Proposition!T$37+Proposition!T$38</f>
        <v>10</v>
      </c>
      <c r="AF21" s="112">
        <f>Proposition!T$27+Proposition!T$28+Proposition!T$31+Proposition!T$34</f>
        <v>4</v>
      </c>
      <c r="AG21" s="112">
        <f>Proposition!T$24+Proposition!T$29+Proposition!T$31</f>
        <v>3</v>
      </c>
      <c r="AH21" s="112">
        <f>Proposition!T$24*6+Proposition!T$28+Proposition!T$31</f>
        <v>-5</v>
      </c>
      <c r="AI21" s="112">
        <f>Proposition!T$24*2+Proposition!T$31</f>
        <v>0</v>
      </c>
      <c r="AJ21" s="112">
        <f>Proposition!T$24*3+Proposition!T$28+Proposition!T$31+Proposition!T$34</f>
        <v>0</v>
      </c>
      <c r="AK21" s="112">
        <f>Proposition!T$24*3+Proposition!T$28+Proposition!T$31+Proposition!T$42</f>
        <v>0</v>
      </c>
      <c r="AL21" s="112">
        <f>Proposition!T$27+Proposition!T$29+Proposition!T$31+Proposition!T$41</f>
        <v>7</v>
      </c>
      <c r="AM21" s="112">
        <f>Proposition!T$24+Proposition!T$28+Proposition!T$31+Proposition!T$34</f>
        <v>2</v>
      </c>
      <c r="AN21" s="99">
        <f ca="1">SUM(AB21-MIN(AB21:AM21),AD21-MIN(AB21:AM21),AE21-MIN(AB21:AM21),AF21-MIN(AB21:AM21),AG21-MIN(AB21:AM21),AH21-MIN(AB21:AM21),AI21-MIN(AB21:AM21),AJ21-MIN(AB21:AM21),AK21-MIN(AB21:AM21),AL21-MIN(AB21:AM21),AM21-MIN(AB21:AM21))+(L21*SUM(AB21-MIN(AB21:AM21),AD21-MIN(AB21:AM21),AE21-MIN(AB21:AM21),AF21-MIN(AB21:AM21),AG21-MIN(AB21:AM21),AH21-MIN(AB21:AM21),AI21-MIN(AB21:AM21),AJ21-MIN(AB21:AM21),AK21-MIN(AB21:AM21),AL21-MIN(AB21:AM21),AM21-MIN(AB21:AM21)))/(1-L21)</f>
        <v>87.096774193548384</v>
      </c>
      <c r="AO21" s="99"/>
    </row>
    <row r="22" spans="1:41" x14ac:dyDescent="0.25">
      <c r="J22" s="87">
        <f t="shared" ca="1" si="3"/>
        <v>1.0000000000000002</v>
      </c>
      <c r="K22" s="46" t="s">
        <v>92</v>
      </c>
      <c r="L22" s="4">
        <f t="shared" ca="1" si="26"/>
        <v>0.09</v>
      </c>
      <c r="M22" s="107">
        <f t="shared" ca="1" si="27"/>
        <v>4.3333333333333335E-2</v>
      </c>
      <c r="N22" s="107">
        <f t="shared" ref="N22:N31" ca="1" si="28">(AC22-MIN($AB22:$AM22))/$AN22</f>
        <v>5.7777777777777782E-2</v>
      </c>
      <c r="O22" s="71"/>
      <c r="P22" s="4">
        <f t="shared" ca="1" si="17"/>
        <v>0.11555555555555556</v>
      </c>
      <c r="Q22" s="4">
        <f t="shared" ca="1" si="18"/>
        <v>8.666666666666667E-2</v>
      </c>
      <c r="R22" s="4">
        <f t="shared" ca="1" si="19"/>
        <v>7.2222222222222229E-2</v>
      </c>
      <c r="S22" s="4">
        <f t="shared" ca="1" si="20"/>
        <v>5.7777777777777782E-2</v>
      </c>
      <c r="T22" s="4">
        <f t="shared" ca="1" si="21"/>
        <v>0</v>
      </c>
      <c r="U22" s="4">
        <f t="shared" ca="1" si="22"/>
        <v>8.666666666666667E-2</v>
      </c>
      <c r="V22" s="4">
        <f t="shared" ca="1" si="23"/>
        <v>0.14444444444444446</v>
      </c>
      <c r="W22" s="4">
        <f t="shared" ca="1" si="24"/>
        <v>0.10111111111111112</v>
      </c>
      <c r="X22" s="4">
        <f t="shared" ca="1" si="25"/>
        <v>0.14444444444444446</v>
      </c>
      <c r="Y22" s="75"/>
      <c r="Z22" s="99" t="s">
        <v>92</v>
      </c>
      <c r="AA22" s="112"/>
      <c r="AB22" s="112">
        <f>Proposition!T$24+Proposition!T$28+Proposition!T$31+Proposition!T$33+Proposition!T$38+Proposition!T$44</f>
        <v>2</v>
      </c>
      <c r="AC22" s="112">
        <f>Proposition!T$24*4+Proposition!T$29+Proposition!T$31+Proposition!T$33+Proposition!T$38</f>
        <v>3</v>
      </c>
      <c r="AD22" s="112"/>
      <c r="AE22" s="112">
        <f>Proposition!T$27+Proposition!T$28+Proposition!T$31+Proposition!T$34+Proposition!T$37+Proposition!T$38</f>
        <v>7</v>
      </c>
      <c r="AF22" s="112">
        <f>Proposition!T$24+Proposition!T$29+Proposition!T$31+Proposition!T$35</f>
        <v>5</v>
      </c>
      <c r="AG22" s="112">
        <f>Proposition!T$24+Proposition!T$26*2+Proposition!T$28+Proposition!T$31</f>
        <v>4</v>
      </c>
      <c r="AH22" s="112">
        <f>Proposition!T$24+Proposition!T$29+Proposition!T$31</f>
        <v>3</v>
      </c>
      <c r="AI22" s="112">
        <f>Proposition!T$24*3+Proposition!T$31</f>
        <v>-1</v>
      </c>
      <c r="AJ22" s="112">
        <f>Proposition!T$24+Proposition!T$29+Proposition!T$31+Proposition!T$35</f>
        <v>5</v>
      </c>
      <c r="AK22" s="112">
        <f>Proposition!T$27+Proposition!T$26+Proposition!T$29+Proposition!T$31+Proposition!T$42</f>
        <v>9</v>
      </c>
      <c r="AL22" s="112">
        <f>Proposition!T$27+Proposition!T$26+Proposition!T$28+Proposition!T$31+Proposition!T$41</f>
        <v>6</v>
      </c>
      <c r="AM22" s="112">
        <f>Proposition!T$27+Proposition!T$26+Proposition!T$29+Proposition!T$31+Proposition!T$35</f>
        <v>9</v>
      </c>
      <c r="AN22" s="99">
        <f ca="1">SUM(AB22-MIN(AB22:AM22),AC22-MIN(AB22:AM22),AE22-MIN(AB22:AM22),AF22-MIN(AB22:AM22),AG22-MIN(AB22:AM22),AH22-MIN(AB22:AM22),AI22-MIN(AB22:AM22),AJ22-MIN(AB22:AM22),AK22-MIN(AB22:AM22),AL22-MIN(AB22:AM22),AM22-MIN(AB22:AM22))+(L22*SUM(AB22-MIN(AB22:AM22),AC22-MIN(AB22:AM22),AE22-MIN(AB22:AM22),AF22-MIN(AB22:AM22),AG22-MIN(AB22:AM22),AH22-MIN(AB22:AM22),AI22-MIN(AB22:AM22),AJ22-MIN(AB22:AM22),AK22-MIN(AB22:AM22),AL22-MIN(AB22:AM22),AM22-MIN(AB22:AM22)))/(1-L22)</f>
        <v>69.230769230769226</v>
      </c>
      <c r="AO22" s="99"/>
    </row>
    <row r="23" spans="1:41" x14ac:dyDescent="0.25">
      <c r="J23" s="87">
        <f t="shared" ca="1" si="3"/>
        <v>1</v>
      </c>
      <c r="K23" s="47" t="s">
        <v>60</v>
      </c>
      <c r="L23" s="4">
        <f t="shared" ca="1" si="26"/>
        <v>0.08</v>
      </c>
      <c r="M23" s="107">
        <f t="shared" ca="1" si="27"/>
        <v>6.3013698630136991E-2</v>
      </c>
      <c r="N23" s="107">
        <f t="shared" ca="1" si="28"/>
        <v>0.11342465753424659</v>
      </c>
      <c r="O23" s="4">
        <f t="shared" ref="O23:O31" ca="1" si="29">(AD23-MIN($AB23:$AM23))/$AN23</f>
        <v>0.10082191780821918</v>
      </c>
      <c r="P23" s="71"/>
      <c r="Q23" s="4">
        <f t="shared" ca="1" si="18"/>
        <v>0.10082191780821918</v>
      </c>
      <c r="R23" s="4">
        <f t="shared" ca="1" si="19"/>
        <v>0</v>
      </c>
      <c r="S23" s="4">
        <f t="shared" ca="1" si="20"/>
        <v>0.10082191780821918</v>
      </c>
      <c r="T23" s="4">
        <f t="shared" ca="1" si="21"/>
        <v>5.0410958904109592E-2</v>
      </c>
      <c r="U23" s="4">
        <f t="shared" ca="1" si="22"/>
        <v>0.10082191780821918</v>
      </c>
      <c r="V23" s="4">
        <f t="shared" ca="1" si="23"/>
        <v>0.12602739726027398</v>
      </c>
      <c r="W23" s="4">
        <f t="shared" ca="1" si="24"/>
        <v>6.3013698630136991E-2</v>
      </c>
      <c r="X23" s="4">
        <f t="shared" ca="1" si="25"/>
        <v>0.10082191780821918</v>
      </c>
      <c r="Y23" s="75"/>
      <c r="Z23" s="99" t="s">
        <v>60</v>
      </c>
      <c r="AA23" s="112"/>
      <c r="AB23" s="112">
        <f>Proposition!T$27+Proposition!T$28+Proposition!T$31+Proposition!T$33+Proposition!T$38+Proposition!T$44</f>
        <v>4</v>
      </c>
      <c r="AC23" s="112">
        <f>Proposition!T$27+Proposition!T$29+Proposition!T$31+Proposition!T$33+Proposition!T$38</f>
        <v>8</v>
      </c>
      <c r="AD23" s="112">
        <f>Proposition!T$27+Proposition!T$28+Proposition!T$31+Proposition!T$33+Proposition!T$38+Proposition!T$41</f>
        <v>7</v>
      </c>
      <c r="AE23" s="112"/>
      <c r="AF23" s="112">
        <f>Proposition!T$27+Proposition!T$29+Proposition!T$31+Proposition!T$36</f>
        <v>7</v>
      </c>
      <c r="AG23" s="112">
        <f>Proposition!T$24+Proposition!T$25+Proposition!T$28+Proposition!T$31</f>
        <v>-1</v>
      </c>
      <c r="AH23" s="112">
        <f>Proposition!T$27+Proposition!T$29+Proposition!T$31+Proposition!T$33</f>
        <v>7</v>
      </c>
      <c r="AI23" s="112">
        <f>Proposition!T$27+Proposition!T$31</f>
        <v>3</v>
      </c>
      <c r="AJ23" s="112">
        <f>Proposition!T$27+Proposition!T$29+Proposition!T$31+Proposition!T$36</f>
        <v>7</v>
      </c>
      <c r="AK23" s="112">
        <f>Proposition!T$27+Proposition!T$26+Proposition!T$29+Proposition!T$31+Proposition!T$42</f>
        <v>9</v>
      </c>
      <c r="AL23" s="112">
        <f>Proposition!T$24+Proposition!T$28+Proposition!T$31+Proposition!T$36+Proposition!T$41</f>
        <v>4</v>
      </c>
      <c r="AM23" s="112">
        <f>Proposition!T$27+Proposition!T$29+Proposition!T$31+Proposition!T$36</f>
        <v>7</v>
      </c>
      <c r="AN23" s="99">
        <f ca="1">SUM(AB23-MIN(AB23:AM23),AC23-MIN(AB23:AM23),AD23-MIN(AB23:AM23),AF23-MIN(AB23:AM23),AG23-MIN(AB23:AM23),AH23-MIN(AB23:AM23),AI23-MIN(AB23:AM23),AJ23-MIN(AB23:AM23),AK23-MIN(AB23:AM23),AL23-MIN(AB23:AM23),AM23-MIN(AB23:AM23))+(L23*SUM(AB23-MIN(AB23:AM23),AC23-MIN(AB23:AM23),AD23-MIN(AB23:AM23),AF23-MIN(AB23:AM23),AG23-MIN(AB23:AM23),AH23-MIN(AB23:AM23),AI23-MIN(AB23:AM23),AJ23-MIN(AB23:AM23),AK23-MIN(AB23:AM23),AL23-MIN(AB23:AM23),AM23-MIN(AB23:AM23)))/(1-L23)</f>
        <v>79.347826086956516</v>
      </c>
      <c r="AO23" s="99"/>
    </row>
    <row r="24" spans="1:41" x14ac:dyDescent="0.25">
      <c r="J24" s="87">
        <f t="shared" ca="1" si="3"/>
        <v>1.0000000000000002</v>
      </c>
      <c r="K24" s="65" t="s">
        <v>94</v>
      </c>
      <c r="L24" s="4">
        <f t="shared" ca="1" si="26"/>
        <v>7.0000000000000007E-2</v>
      </c>
      <c r="M24" s="107">
        <f t="shared" ca="1" si="27"/>
        <v>8.0172413793103442E-2</v>
      </c>
      <c r="N24" s="107">
        <f t="shared" ca="1" si="28"/>
        <v>9.6206896551724139E-2</v>
      </c>
      <c r="O24" s="4">
        <f t="shared" ca="1" si="29"/>
        <v>0.1443103448275862</v>
      </c>
      <c r="P24" s="4">
        <f t="shared" ref="P24:P31" ca="1" si="30">(AE24-MIN($AB24:$AM24))/$AN24</f>
        <v>0.20844827586206896</v>
      </c>
      <c r="Q24" s="71"/>
      <c r="R24" s="4">
        <f t="shared" ca="1" si="19"/>
        <v>0.11224137931034482</v>
      </c>
      <c r="S24" s="4">
        <f t="shared" ca="1" si="20"/>
        <v>3.206896551724138E-2</v>
      </c>
      <c r="T24" s="4">
        <f t="shared" ca="1" si="21"/>
        <v>1.603448275862069E-2</v>
      </c>
      <c r="U24" s="4">
        <f t="shared" ca="1" si="22"/>
        <v>4.8103448275862069E-2</v>
      </c>
      <c r="V24" s="4">
        <f t="shared" ca="1" si="23"/>
        <v>1.603448275862069E-2</v>
      </c>
      <c r="W24" s="4">
        <f t="shared" ca="1" si="24"/>
        <v>0.17637931034482759</v>
      </c>
      <c r="X24" s="4">
        <f t="shared" ca="1" si="25"/>
        <v>0</v>
      </c>
      <c r="Y24" s="75"/>
      <c r="Z24" s="99" t="s">
        <v>94</v>
      </c>
      <c r="AA24" s="112"/>
      <c r="AB24" s="112">
        <f>Proposition!T$24*2+Proposition!T$29+Proposition!T$31+Proposition!T$33+Proposition!T$44</f>
        <v>3</v>
      </c>
      <c r="AC24" s="112">
        <f>Proposition!T$27+Proposition!T$28+Proposition!T$31+Proposition!T$33</f>
        <v>4</v>
      </c>
      <c r="AD24" s="112">
        <f>Proposition!T$24+Proposition!T$29+Proposition!T$31+Proposition!T$33+Proposition!T$41</f>
        <v>7</v>
      </c>
      <c r="AE24" s="112">
        <f>Proposition!T$27+Proposition!T$29+Proposition!T$31+Proposition!T$33+Proposition!T$36+Proposition!T$37</f>
        <v>11</v>
      </c>
      <c r="AF24" s="112"/>
      <c r="AG24" s="112">
        <f>Proposition!T$24+Proposition!T$26+Proposition!T$29+Proposition!T$31</f>
        <v>5</v>
      </c>
      <c r="AH24" s="112">
        <f>Proposition!T$24+Proposition!T$28+Proposition!T$31</f>
        <v>0</v>
      </c>
      <c r="AI24" s="112">
        <f>Proposition!T$24*3+Proposition!T$31</f>
        <v>-1</v>
      </c>
      <c r="AJ24" s="112">
        <f>Proposition!T$27+Proposition!T$28+Proposition!T$30+Proposition!T$36</f>
        <v>1</v>
      </c>
      <c r="AK24" s="112">
        <f>Proposition!T$24*3+Proposition!T$25+Proposition!T$28+Proposition!T$31+Proposition!T$42</f>
        <v>-1</v>
      </c>
      <c r="AL24" s="112">
        <f>Proposition!T$27+Proposition!T$29+Proposition!T$31+Proposition!T$36+Proposition!T$41</f>
        <v>9</v>
      </c>
      <c r="AM24" s="112">
        <f>Proposition!T$24*2+Proposition!T$28+Proposition!T$30+Proposition!T$36</f>
        <v>-2</v>
      </c>
      <c r="AN24" s="99">
        <f ca="1">SUM(AB24-MIN(AB24:AM24),AC24-MIN(AB24:AM24),AD24-MIN(AB24:AM24),AE24-MIN(AB24:AM24),AG24-MIN(AB24:AM24),AH24-MIN(AB24:AM24),AI24-MIN(AB24:AM24),AJ24-MIN(AB24:AM24),AK24-MIN(AB24:AM24),AL24-MIN(AB24:AM24),AM24-MIN(AB24:AM24))+(L24*SUM(AB24-MIN(AB24:AM24),AC24-MIN(AB24:AM24),AD24-MIN(AB24:AM24),AE24-MIN(AB24:AM24),AG24-MIN(AB24:AM24),AH24-MIN(AB24:AM24),AI24-MIN(AB24:AM24),AJ24-MIN(AB24:AM24),AK24-MIN(AB24:AM24),AL24-MIN(AB24:AM24),AM24-MIN(AB24:AM24)))/(1-L24)</f>
        <v>62.365591397849464</v>
      </c>
      <c r="AO24" s="99"/>
    </row>
    <row r="25" spans="1:41" x14ac:dyDescent="0.25">
      <c r="J25" s="87">
        <f t="shared" ca="1" si="3"/>
        <v>1</v>
      </c>
      <c r="K25" s="46" t="s">
        <v>96</v>
      </c>
      <c r="L25" s="4">
        <f t="shared" ca="1" si="26"/>
        <v>0.08</v>
      </c>
      <c r="M25" s="107">
        <f t="shared" ca="1" si="27"/>
        <v>0</v>
      </c>
      <c r="N25" s="107">
        <f t="shared" ca="1" si="28"/>
        <v>4.9729729729729728E-2</v>
      </c>
      <c r="O25" s="4">
        <f t="shared" ca="1" si="29"/>
        <v>0.12432432432432432</v>
      </c>
      <c r="P25" s="4">
        <f t="shared" ca="1" si="30"/>
        <v>4.9729729729729728E-2</v>
      </c>
      <c r="Q25" s="4">
        <f t="shared" ref="Q25:Q31" ca="1" si="31">(AF25-MIN($AB25:$AM25))/$AN25</f>
        <v>0.14918918918918919</v>
      </c>
      <c r="R25" s="71"/>
      <c r="S25" s="4">
        <f t="shared" ca="1" si="20"/>
        <v>0.14918918918918919</v>
      </c>
      <c r="T25" s="4">
        <f t="shared" ca="1" si="21"/>
        <v>0.14918918918918919</v>
      </c>
      <c r="U25" s="4">
        <f t="shared" ca="1" si="22"/>
        <v>9.9459459459459457E-2</v>
      </c>
      <c r="V25" s="4">
        <f t="shared" ca="1" si="23"/>
        <v>7.4594594594594596E-2</v>
      </c>
      <c r="W25" s="4">
        <f t="shared" ca="1" si="24"/>
        <v>0</v>
      </c>
      <c r="X25" s="4">
        <f t="shared" ca="1" si="25"/>
        <v>7.4594594594594596E-2</v>
      </c>
      <c r="Y25" s="75"/>
      <c r="Z25" s="99" t="s">
        <v>96</v>
      </c>
      <c r="AA25" s="112"/>
      <c r="AB25" s="112">
        <f>Proposition!T$27+Proposition!T$28+Proposition!T$31+Proposition!T$44</f>
        <v>1</v>
      </c>
      <c r="AC25" s="112">
        <f>Proposition!T$24+Proposition!T$29+Proposition!T$31</f>
        <v>3</v>
      </c>
      <c r="AD25" s="112">
        <f>Proposition!T$24+Proposition!T$26*2+Proposition!T$28+Proposition!T$31+Proposition!T$41</f>
        <v>6</v>
      </c>
      <c r="AE25" s="112">
        <f>Proposition!T$24+Proposition!T$25+Proposition!T$28+Proposition!T$31+Proposition!T$34+Proposition!T$37</f>
        <v>3</v>
      </c>
      <c r="AF25" s="112">
        <f>Proposition!T$24+Proposition!T$26+Proposition!T$29+Proposition!T$31+Proposition!T$35</f>
        <v>7</v>
      </c>
      <c r="AG25" s="112"/>
      <c r="AH25" s="112">
        <f>Proposition!T$24+Proposition!T$26*2+Proposition!T$29+Proposition!T$31</f>
        <v>7</v>
      </c>
      <c r="AI25" s="112">
        <f>Proposition!T$27+Proposition!T$26*2+Proposition!T$31</f>
        <v>7</v>
      </c>
      <c r="AJ25" s="112">
        <f>Proposition!T$24+Proposition!T$29+Proposition!T$31+Proposition!T$35</f>
        <v>5</v>
      </c>
      <c r="AK25" s="112">
        <f>Proposition!T$24*2+Proposition!T$29+Proposition!T$31+Proposition!T$42</f>
        <v>4</v>
      </c>
      <c r="AL25" s="112">
        <f>Proposition!T$24*2+Proposition!T$28+Proposition!T$31+Proposition!T$41</f>
        <v>1</v>
      </c>
      <c r="AM25" s="112">
        <f>Proposition!T$24*2+Proposition!T$29+Proposition!T$31+Proposition!T$35</f>
        <v>4</v>
      </c>
      <c r="AN25" s="99">
        <f ca="1">SUM(AB25-MIN(AB25:AM25),AC25-MIN(AB25:AM25),AD25-MIN(AB25:AM25),AE25-MIN(AB25:AM25),AF25-MIN(AB25:AM25),AH25-MIN(AB25:AM25),AI25-MIN(AB25:AM25),AJ25-MIN(AB25:AM25),AK25-MIN(AB25:AM25),AL25-MIN(AB25:AM25),AM25-MIN(AB25:AM25))+(L25*SUM(AB25-MIN(AB25:AM25),AC25-MIN(AB25:AM25),AD25-MIN(AB25:AM25),AE25-MIN(AB25:AM25),AF25-MIN(AB25:AM25),AH25-MIN(AB25:AM25),AI25-MIN(AB25:AM25),AJ25-MIN(AB25:AM25),AK25-MIN(AB25:AM25),AL25-MIN(AB25:AM25),AM25-MIN(AB25:AM25)))/(1-L25)</f>
        <v>40.217391304347828</v>
      </c>
      <c r="AO25" s="99"/>
    </row>
    <row r="26" spans="1:41" x14ac:dyDescent="0.25">
      <c r="J26" s="87">
        <f t="shared" ca="1" si="3"/>
        <v>1.0000000000000002</v>
      </c>
      <c r="K26" s="45" t="s">
        <v>98</v>
      </c>
      <c r="L26" s="4">
        <f t="shared" ca="1" si="26"/>
        <v>0.08</v>
      </c>
      <c r="M26" s="107">
        <f t="shared" ca="1" si="27"/>
        <v>0.12080808080808081</v>
      </c>
      <c r="N26" s="107">
        <f t="shared" ca="1" si="28"/>
        <v>0</v>
      </c>
      <c r="O26" s="4">
        <f t="shared" ca="1" si="29"/>
        <v>9.2929292929292931E-2</v>
      </c>
      <c r="P26" s="4">
        <f t="shared" ca="1" si="30"/>
        <v>0.13010101010101011</v>
      </c>
      <c r="Q26" s="4">
        <f t="shared" ca="1" si="31"/>
        <v>6.5050505050505053E-2</v>
      </c>
      <c r="R26" s="4">
        <f t="shared" ref="R26:R31" ca="1" si="32">(AG26-MIN($AB26:$AM26))/$AN26</f>
        <v>0.11151515151515153</v>
      </c>
      <c r="S26" s="71"/>
      <c r="T26" s="4">
        <f t="shared" ca="1" si="21"/>
        <v>4.6464646464646465E-2</v>
      </c>
      <c r="U26" s="4">
        <f t="shared" ca="1" si="22"/>
        <v>6.5050505050505053E-2</v>
      </c>
      <c r="V26" s="4">
        <f t="shared" ca="1" si="23"/>
        <v>7.434343434343435E-2</v>
      </c>
      <c r="W26" s="4">
        <f t="shared" ca="1" si="24"/>
        <v>0.13010101010101011</v>
      </c>
      <c r="X26" s="4">
        <f t="shared" ca="1" si="25"/>
        <v>8.3636363636363648E-2</v>
      </c>
      <c r="Y26" s="75"/>
      <c r="Z26" s="99" t="s">
        <v>98</v>
      </c>
      <c r="AA26" s="112"/>
      <c r="AB26" s="112">
        <f>Proposition!T$27+Proposition!T$26+Proposition!T$29+Proposition!T$31+Proposition!T$33+Proposition!T$44</f>
        <v>8</v>
      </c>
      <c r="AC26" s="112">
        <f>Proposition!T$24*6+Proposition!T$28+Proposition!T$31</f>
        <v>-5</v>
      </c>
      <c r="AD26" s="112">
        <f>Proposition!T$24+Proposition!T$29+Proposition!T$31+Proposition!T$41</f>
        <v>5</v>
      </c>
      <c r="AE26" s="112">
        <f>Proposition!T$27+Proposition!T$29+Proposition!T$31+Proposition!T$35+Proposition!T$37</f>
        <v>9</v>
      </c>
      <c r="AF26" s="112">
        <f>Proposition!T$24+Proposition!T$28+Proposition!T$31+Proposition!T$34</f>
        <v>2</v>
      </c>
      <c r="AG26" s="112">
        <f>Proposition!T$24+Proposition!T$26*2+Proposition!T$29+Proposition!T$31</f>
        <v>7</v>
      </c>
      <c r="AH26" s="112"/>
      <c r="AI26" s="112">
        <f>Proposition!T$24*2+Proposition!T$31</f>
        <v>0</v>
      </c>
      <c r="AJ26" s="112">
        <f>Proposition!T$24+Proposition!T$28+Proposition!T$31+Proposition!T$34</f>
        <v>2</v>
      </c>
      <c r="AK26" s="112">
        <f>Proposition!T$24*2+Proposition!T$26+Proposition!T$28+Proposition!T$31+Proposition!T$42</f>
        <v>3</v>
      </c>
      <c r="AL26" s="112">
        <f>Proposition!T$27+Proposition!T$26+Proposition!T$29+Proposition!T$31+Proposition!T$41</f>
        <v>9</v>
      </c>
      <c r="AM26" s="112">
        <f>Proposition!T$27+Proposition!T$28+Proposition!T$31+Proposition!T$34</f>
        <v>4</v>
      </c>
      <c r="AN26" s="99">
        <f ca="1">SUM(AB26-MIN(AB26:AM26),AC26-MIN(AB26:AM26),AD26-MIN(AB26:AM26),AE26-MIN(AB26:AM26),AF26-MIN(AB26:AM26),AG26-MIN(AB26:AM26),AI26-MIN(AB26:AM26),AJ26-MIN(AB26:AM26),AK26-MIN(AB26:AM26),AL26-MIN(AB26:AM26),AM26-MIN(AB26:AM26))+(L26*SUM(AB26-MIN(AB26:AM26),AC26-MIN(AB26:AM26),AD26-MIN(AB26:AM26),AE26-MIN(AB26:AM26),AF26-MIN(AB26:AM26),AG26-MIN(AB26:AM26),AI26-MIN(AB26:AM26),AJ26-MIN(AB26:AM26),AK26-MIN(AB26:AM26),AL26-MIN(AB26:AM26),AM26-MIN(AB26:AM26)))/(1-L26)</f>
        <v>107.60869565217391</v>
      </c>
      <c r="AO26" s="99"/>
    </row>
    <row r="27" spans="1:41" x14ac:dyDescent="0.25">
      <c r="J27" s="87">
        <f t="shared" ca="1" si="3"/>
        <v>1</v>
      </c>
      <c r="K27" s="64" t="s">
        <v>100</v>
      </c>
      <c r="L27" s="4">
        <f t="shared" ca="1" si="26"/>
        <v>0.05</v>
      </c>
      <c r="M27" s="107">
        <f t="shared" ca="1" si="27"/>
        <v>5.8163265306122446E-2</v>
      </c>
      <c r="N27" s="107">
        <f t="shared" ca="1" si="28"/>
        <v>0</v>
      </c>
      <c r="O27" s="4">
        <f t="shared" ca="1" si="29"/>
        <v>5.8163265306122446E-2</v>
      </c>
      <c r="P27" s="4">
        <f t="shared" ca="1" si="30"/>
        <v>0.17448979591836733</v>
      </c>
      <c r="Q27" s="4">
        <f t="shared" ca="1" si="31"/>
        <v>1.9387755102040816E-2</v>
      </c>
      <c r="R27" s="4">
        <f t="shared" ca="1" si="32"/>
        <v>0.17448979591836733</v>
      </c>
      <c r="S27" s="4">
        <f t="shared" ref="S27:S31" ca="1" si="33">(AH27-MIN($AB27:$AM27))/$AN27</f>
        <v>3.8775510204081633E-2</v>
      </c>
      <c r="T27" s="71"/>
      <c r="U27" s="4">
        <f t="shared" ca="1" si="22"/>
        <v>5.8163265306122446E-2</v>
      </c>
      <c r="V27" s="4">
        <f t="shared" ca="1" si="23"/>
        <v>0.11632653061224489</v>
      </c>
      <c r="W27" s="4">
        <f t="shared" ca="1" si="24"/>
        <v>0.19387755102040816</v>
      </c>
      <c r="X27" s="4">
        <f t="shared" ca="1" si="25"/>
        <v>5.8163265306122446E-2</v>
      </c>
      <c r="Y27" s="75"/>
      <c r="Z27" s="99" t="s">
        <v>100</v>
      </c>
      <c r="AA27" s="112"/>
      <c r="AB27" s="112">
        <f>Proposition!T$24*2+Proposition!T$26+Proposition!T$31+Proposition!T$44</f>
        <v>1</v>
      </c>
      <c r="AC27" s="112">
        <f>Proposition!T$24*2+Proposition!T$31+Proposition!T$32</f>
        <v>-2</v>
      </c>
      <c r="AD27" s="112">
        <f>Proposition!T$24*3+Proposition!T$31+Proposition!T$41</f>
        <v>1</v>
      </c>
      <c r="AE27" s="112">
        <f>Proposition!T$27+Proposition!T$31+Proposition!T$35+Proposition!T$37</f>
        <v>7</v>
      </c>
      <c r="AF27" s="112">
        <f>Proposition!T$24*3+Proposition!T$31</f>
        <v>-1</v>
      </c>
      <c r="AG27" s="112">
        <f>Proposition!T$27+Proposition!T$26*2+Proposition!T$31</f>
        <v>7</v>
      </c>
      <c r="AH27" s="112">
        <f>Proposition!T$24*2+Proposition!T$31</f>
        <v>0</v>
      </c>
      <c r="AI27" s="112"/>
      <c r="AJ27" s="112">
        <f>Proposition!T$24+Proposition!T$31</f>
        <v>1</v>
      </c>
      <c r="AK27" s="112">
        <f>Proposition!T$24*3+Proposition!T$26+Proposition!T$28+Proposition!T$31+Proposition!T$34+Proposition!T$42</f>
        <v>4</v>
      </c>
      <c r="AL27" s="112">
        <f>Proposition!T$27+Proposition!T$26+Proposition!T$28+Proposition!T$31+Proposition!T$34+Proposition!T$41</f>
        <v>8</v>
      </c>
      <c r="AM27" s="112">
        <f>Proposition!T$24+Proposition!T$31</f>
        <v>1</v>
      </c>
      <c r="AN27" s="99">
        <f ca="1">SUM(AB27-MIN(AB27:AM27),AC27-MIN(AB27:AM27),AD27-MIN(AB27:AM27),AE27-MIN(AB27:AM27),AF27-MIN(AB27:AM27),AG27-MIN(AB27:AM27),AH27-MIN(AB27:AM27),AJ27-MIN(AB27:AM27),AK27-MIN(AB27:AM27),AL27-MIN(AB27:AM27),AM27-MIN(AB27:AM27))+(L27*SUM(AB27-MIN(AB27:AM27),AC27-MIN(AB27:AM27),AD27-MIN(AB27:AM27),AE27-MIN(AB27:AM27),AF27-MIN(AB27:AM27),AG27-MIN(AB27:AM27),AH27-MIN(AB27:AM27),AJ27-MIN(AB27:AM27),AK27-MIN(AB27:AM27),AL27-MIN(AB27:AM27),AM27-MIN(AB27:AM27)))/(1-L27)</f>
        <v>51.578947368421055</v>
      </c>
      <c r="AO27" s="99"/>
    </row>
    <row r="28" spans="1:41" x14ac:dyDescent="0.25">
      <c r="J28" s="87">
        <f t="shared" ca="1" si="3"/>
        <v>1.0000000000000002</v>
      </c>
      <c r="K28" s="45" t="s">
        <v>76</v>
      </c>
      <c r="L28" s="4">
        <f t="shared" ca="1" si="26"/>
        <v>7.0000000000000007E-2</v>
      </c>
      <c r="M28" s="107">
        <f t="shared" ca="1" si="27"/>
        <v>0.14152173913043478</v>
      </c>
      <c r="N28" s="107">
        <f t="shared" ca="1" si="28"/>
        <v>2.0217391304347826E-2</v>
      </c>
      <c r="O28" s="4">
        <f t="shared" ca="1" si="29"/>
        <v>0.16173913043478261</v>
      </c>
      <c r="P28" s="4">
        <f t="shared" ca="1" si="30"/>
        <v>0.16173913043478261</v>
      </c>
      <c r="Q28" s="4">
        <f t="shared" ca="1" si="31"/>
        <v>4.0434782608695652E-2</v>
      </c>
      <c r="R28" s="4">
        <f t="shared" ca="1" si="32"/>
        <v>8.0869565217391304E-2</v>
      </c>
      <c r="S28" s="4">
        <f t="shared" ca="1" si="33"/>
        <v>2.0217391304347826E-2</v>
      </c>
      <c r="T28" s="4">
        <f t="shared" ref="T28:T31" ca="1" si="34">(AI28-MIN($AB28:$AM28))/$AN28</f>
        <v>4.0434782608695652E-2</v>
      </c>
      <c r="U28" s="71"/>
      <c r="V28" s="4">
        <f t="shared" ca="1" si="23"/>
        <v>6.0652173913043478E-2</v>
      </c>
      <c r="W28" s="4">
        <f t="shared" ca="1" si="24"/>
        <v>0.20217391304347826</v>
      </c>
      <c r="X28" s="4">
        <f t="shared" ca="1" si="25"/>
        <v>0</v>
      </c>
      <c r="Y28" s="75"/>
      <c r="Z28" s="99" t="s">
        <v>76</v>
      </c>
      <c r="AA28" s="112"/>
      <c r="AB28" s="112">
        <f>Proposition!T$27+Proposition!T$29+Proposition!T$31+Proposition!T$33+Proposition!T$44</f>
        <v>6</v>
      </c>
      <c r="AC28" s="112">
        <f>Proposition!T$24*3+Proposition!T$28+Proposition!T$31+Proposition!T$33</f>
        <v>0</v>
      </c>
      <c r="AD28" s="112">
        <f>Proposition!T$24+Proposition!T$29+Proposition!T$31+Proposition!T$33+Proposition!T$41</f>
        <v>7</v>
      </c>
      <c r="AE28" s="112">
        <f>Proposition!T$27+Proposition!T$29+Proposition!T$31+Proposition!T$37</f>
        <v>7</v>
      </c>
      <c r="AF28" s="112">
        <f>Proposition!T$27+Proposition!T$28+Proposition!T$30+Proposition!T$36</f>
        <v>1</v>
      </c>
      <c r="AG28" s="112">
        <f>Proposition!T$24+Proposition!T$29+Proposition!T$31</f>
        <v>3</v>
      </c>
      <c r="AH28" s="112">
        <f>Proposition!T$24+Proposition!T$28+Proposition!T$31</f>
        <v>0</v>
      </c>
      <c r="AI28" s="112">
        <f>Proposition!T$24+Proposition!T$31</f>
        <v>1</v>
      </c>
      <c r="AJ28" s="112"/>
      <c r="AK28" s="112">
        <f>Proposition!T$24+Proposition!T$28+Proposition!T$31+Proposition!T$42</f>
        <v>2</v>
      </c>
      <c r="AL28" s="112">
        <f>Proposition!T$27+Proposition!T$29+Proposition!T$31+Proposition!T$36+Proposition!T$41</f>
        <v>9</v>
      </c>
      <c r="AM28" s="112">
        <f>Proposition!T$24+Proposition!T$28+Proposition!T$30+Proposition!T$36</f>
        <v>-1</v>
      </c>
      <c r="AN28" s="99">
        <f ca="1">SUM(AB28-MIN(AB28:AM28),AC28-MIN(AB28:AM28),AD28-MIN(AB28:AM28),AE28-MIN(AB28:AM28),AF28-MIN(AB28:AM28),AG28-MIN(AB28:AM28),AH28-MIN(AB28:AM28),AI28-MIN(AB28:AM28),AK28-MIN(AB28:AM28),AL28-MIN(AB28:AM28),AM28-MIN(AB28:AM28))+(L28*SUM(AB28-MIN(AB28:AM28),AC28-MIN(AB28:AM28),AD28-MIN(AB28:AM28),AE28-MIN(AB28:AM28),AF28-MIN(AB28:AM28),AG28-MIN(AB28:AM28),AH28-MIN(AB28:AM28),AI28-MIN(AB28:AM28),AK28-MIN(AB28:AM28),AL28-MIN(AB28:AM28),AM28-MIN(AB28:AM28)))/(1-L28)</f>
        <v>49.462365591397848</v>
      </c>
      <c r="AO28" s="99"/>
    </row>
    <row r="29" spans="1:41" x14ac:dyDescent="0.25">
      <c r="J29" s="87">
        <f t="shared" ca="1" si="3"/>
        <v>0.99999999999999989</v>
      </c>
      <c r="K29" s="48" t="s">
        <v>103</v>
      </c>
      <c r="L29" s="4">
        <f t="shared" ca="1" si="26"/>
        <v>7.0000000000000007E-2</v>
      </c>
      <c r="M29" s="107">
        <f t="shared" ca="1" si="27"/>
        <v>0.10145454545454545</v>
      </c>
      <c r="N29" s="107">
        <f t="shared" ca="1" si="28"/>
        <v>0</v>
      </c>
      <c r="O29" s="4">
        <f t="shared" ca="1" si="29"/>
        <v>0.2198181818181818</v>
      </c>
      <c r="P29" s="4">
        <f t="shared" ca="1" si="30"/>
        <v>0.186</v>
      </c>
      <c r="Q29" s="4">
        <f t="shared" ca="1" si="31"/>
        <v>1.6909090909090908E-2</v>
      </c>
      <c r="R29" s="4">
        <f t="shared" ca="1" si="32"/>
        <v>0.10145454545454545</v>
      </c>
      <c r="S29" s="4">
        <f t="shared" ca="1" si="33"/>
        <v>5.0727272727272725E-2</v>
      </c>
      <c r="T29" s="4">
        <f t="shared" ca="1" si="34"/>
        <v>0</v>
      </c>
      <c r="U29" s="4">
        <f t="shared" ref="U29:U31" ca="1" si="35">(AJ29-MIN($AB29:$AM29))/$AN29</f>
        <v>6.7636363636363633E-2</v>
      </c>
      <c r="V29" s="71"/>
      <c r="W29" s="4">
        <f t="shared" ca="1" si="24"/>
        <v>0.1690909090909091</v>
      </c>
      <c r="X29" s="4">
        <f t="shared" ca="1" si="25"/>
        <v>1.6909090909090908E-2</v>
      </c>
      <c r="Y29" s="75"/>
      <c r="Z29" s="99" t="s">
        <v>103</v>
      </c>
      <c r="AA29" s="112"/>
      <c r="AB29" s="112">
        <f>Proposition!T$24+Proposition!T$29+Proposition!T$31+Proposition!T$33+Proposition!T$44</f>
        <v>4</v>
      </c>
      <c r="AC29" s="112">
        <f>Proposition!T$24*3+Proposition!T$28+Proposition!T$31</f>
        <v>-2</v>
      </c>
      <c r="AD29" s="112">
        <f>Proposition!T$27+Proposition!T$26+Proposition!T$29+Proposition!T$31+Proposition!T$33+Proposition!T$41</f>
        <v>11</v>
      </c>
      <c r="AE29" s="112">
        <f>Proposition!T$27+Proposition!T$26+Proposition!T$29+Proposition!T$31+Proposition!T$37</f>
        <v>9</v>
      </c>
      <c r="AF29" s="112">
        <f>Proposition!T$24*3+Proposition!T$25+Proposition!T$28+Proposition!T$31+Proposition!T$34</f>
        <v>-1</v>
      </c>
      <c r="AG29" s="112">
        <f>Proposition!T$24*2+Proposition!T$29+Proposition!T$31+Proposition!T$33</f>
        <v>4</v>
      </c>
      <c r="AH29" s="112">
        <f>Proposition!T$24*2+Proposition!T$26+Proposition!T$28+Proposition!T$31</f>
        <v>1</v>
      </c>
      <c r="AI29" s="112">
        <f>Proposition!T$24*3+Proposition!T$26+Proposition!T$28</f>
        <v>-2</v>
      </c>
      <c r="AJ29" s="112">
        <f>Proposition!T$24+Proposition!T$28+Proposition!T$31+Proposition!T$34</f>
        <v>2</v>
      </c>
      <c r="AK29" s="112"/>
      <c r="AL29" s="112">
        <f>Proposition!T$27+Proposition!T$28+Proposition!T$29+Proposition!T$31+Proposition!T$33+Proposition!T$41</f>
        <v>8</v>
      </c>
      <c r="AM29" s="112">
        <f>Proposition!T$24*2+Proposition!T$28+Proposition!T$31</f>
        <v>-1</v>
      </c>
      <c r="AN29" s="99">
        <f ca="1">SUM(AB29-MIN(AB29:AM29),AC29-MIN(AB29:AM29),AD29-MIN(AB29:AM29),AE29-MIN(AB29:AM29),AF29-MIN(AB29:AM29),AG29-MIN(AB29:AM29),AH29-MIN(AB29:AM29),AI29-MIN(AB29:AM29),AJ29-MIN(AB29:AM29),AL29-MIN(AB29:AM29),AM29-MIN(AB29:AM29))+(L29*SUM(AB29-MIN(AB29:AM29),AC29-MIN(AB29:AM29),AD29-MIN(AB29:AM29),AE29-MIN(AB29:AM29),AF29-MIN(AB29:AM29),AG29-MIN(AB29:AM29),AH29-MIN(AB29:AM29),AI29-MIN(AB29:AM29),AJ29-MIN(AB29:AM29),AL29-MIN(AB29:AM29),AM29-MIN(AB29:AM29)))/(1-L29)</f>
        <v>59.13978494623656</v>
      </c>
      <c r="AO29" s="99"/>
    </row>
    <row r="30" spans="1:41" x14ac:dyDescent="0.25">
      <c r="J30" s="87">
        <f t="shared" ca="1" si="3"/>
        <v>1</v>
      </c>
      <c r="K30" s="66" t="s">
        <v>105</v>
      </c>
      <c r="L30" s="4">
        <f t="shared" ca="1" si="26"/>
        <v>7.0000000000000007E-2</v>
      </c>
      <c r="M30" s="107">
        <f t="shared" ca="1" si="27"/>
        <v>0.03</v>
      </c>
      <c r="N30" s="107">
        <f t="shared" ca="1" si="28"/>
        <v>0.09</v>
      </c>
      <c r="O30" s="4">
        <f t="shared" ca="1" si="29"/>
        <v>0.105</v>
      </c>
      <c r="P30" s="4">
        <f t="shared" ca="1" si="30"/>
        <v>0.105</v>
      </c>
      <c r="Q30" s="4">
        <f t="shared" ca="1" si="31"/>
        <v>0.12</v>
      </c>
      <c r="R30" s="4">
        <f t="shared" ca="1" si="32"/>
        <v>0</v>
      </c>
      <c r="S30" s="4">
        <f t="shared" ca="1" si="33"/>
        <v>0.12</v>
      </c>
      <c r="T30" s="4">
        <f t="shared" ca="1" si="34"/>
        <v>4.4999999999999998E-2</v>
      </c>
      <c r="U30" s="4">
        <f t="shared" ca="1" si="35"/>
        <v>0.12</v>
      </c>
      <c r="V30" s="4">
        <f t="shared" ref="V30:V31" ca="1" si="36">(AK30-MIN($AB30:$AM30))/$AN30</f>
        <v>0.105</v>
      </c>
      <c r="W30" s="71"/>
      <c r="X30" s="4">
        <f t="shared" ca="1" si="25"/>
        <v>0.09</v>
      </c>
      <c r="Y30" s="75"/>
      <c r="Z30" s="99" t="s">
        <v>105</v>
      </c>
      <c r="AA30" s="112"/>
      <c r="AB30" s="112">
        <f>Proposition!T$27+Proposition!T$28+Proposition!T$31+Proposition!T$44</f>
        <v>1</v>
      </c>
      <c r="AC30" s="112">
        <f>Proposition!T$27+Proposition!T$29+Proposition!T$31</f>
        <v>5</v>
      </c>
      <c r="AD30" s="112">
        <f>Proposition!T$27+Proposition!T$26+Proposition!T$28+Proposition!T$31+Proposition!T$41</f>
        <v>6</v>
      </c>
      <c r="AE30" s="112">
        <f>Proposition!T$24+Proposition!T$28+Proposition!T$31+Proposition!T$34+Proposition!T$36+Proposition!T$37</f>
        <v>6</v>
      </c>
      <c r="AF30" s="112">
        <f>Proposition!T$27+Proposition!T$29+Proposition!T$31+Proposition!T$36</f>
        <v>7</v>
      </c>
      <c r="AG30" s="112">
        <f>Proposition!T$24*2+Proposition!T$28+Proposition!T$31</f>
        <v>-1</v>
      </c>
      <c r="AH30" s="112">
        <f>Proposition!T$27+Proposition!T$26+Proposition!T$29+Proposition!T$31</f>
        <v>7</v>
      </c>
      <c r="AI30" s="112">
        <f>Proposition!T$27+Proposition!T$26+Proposition!T$28</f>
        <v>2</v>
      </c>
      <c r="AJ30" s="112">
        <f>Proposition!T$27+Proposition!T$29+Proposition!T$31+Proposition!T$36</f>
        <v>7</v>
      </c>
      <c r="AK30" s="112">
        <f>Proposition!T$27+Proposition!T$28+Proposition!T$29+Proposition!T$31+Proposition!T$42</f>
        <v>6</v>
      </c>
      <c r="AL30" s="112"/>
      <c r="AM30" s="112">
        <f>Proposition!T$24+Proposition!T$29+Proposition!T$31+Proposition!T$36</f>
        <v>5</v>
      </c>
      <c r="AN30" s="99">
        <f ca="1">SUM(AB30-MIN(AB30:AM30),AC30-MIN(AB30:AM30),AD30-MIN(AB30:AM30),AE30-MIN(AB30:AM30),AF30-MIN(AB30:AM30),AG30-MIN(AB30:AM30),AH30-MIN(AB30:AM30),AI30-MIN(AB30:AM30),AJ30-MIN(AB30:AM30),AK30-MIN(AB30:AM30),AM30-MIN(AB30:AM30))+(L30*SUM(AB30-MIN(AB30:AM30),AC30-MIN(AB30:AM30),AD30-MIN(AB30:AM30),AE30-MIN(AB30:AM30),AF30-MIN(AB30:AM30),AG30-MIN(AB30:AM30),AH30-MIN(AB30:AM30),AI30-MIN(AB30:AM30),AJ30-MIN(AB30:AM30),AK30-MIN(AB30:AM30),AM30-MIN(AB30:AM30)))/(1-L30)</f>
        <v>66.666666666666671</v>
      </c>
      <c r="AO30" s="99"/>
    </row>
    <row r="31" spans="1:41" x14ac:dyDescent="0.25">
      <c r="J31" s="87">
        <f ca="1">SUM(L31:X31)</f>
        <v>1.0000000000000002</v>
      </c>
      <c r="K31" s="45" t="s">
        <v>107</v>
      </c>
      <c r="L31" s="4">
        <f t="shared" ca="1" si="26"/>
        <v>0.09</v>
      </c>
      <c r="M31" s="107">
        <f t="shared" ca="1" si="27"/>
        <v>7.0000000000000007E-2</v>
      </c>
      <c r="N31" s="107">
        <f t="shared" ca="1" si="28"/>
        <v>3.5000000000000003E-2</v>
      </c>
      <c r="O31" s="4">
        <f t="shared" ca="1" si="29"/>
        <v>0.1925</v>
      </c>
      <c r="P31" s="4">
        <f t="shared" ca="1" si="30"/>
        <v>0.1925</v>
      </c>
      <c r="Q31" s="4">
        <f t="shared" ca="1" si="31"/>
        <v>0</v>
      </c>
      <c r="R31" s="4">
        <f t="shared" ca="1" si="32"/>
        <v>7.0000000000000007E-2</v>
      </c>
      <c r="S31" s="4">
        <f t="shared" ca="1" si="33"/>
        <v>7.0000000000000007E-2</v>
      </c>
      <c r="T31" s="4">
        <f t="shared" ca="1" si="34"/>
        <v>5.2500000000000005E-2</v>
      </c>
      <c r="U31" s="4">
        <f t="shared" ca="1" si="35"/>
        <v>1.7500000000000002E-2</v>
      </c>
      <c r="V31" s="4">
        <f t="shared" ca="1" si="36"/>
        <v>5.2500000000000005E-2</v>
      </c>
      <c r="W31" s="4">
        <f t="shared" ref="W31" ca="1" si="37">(AL31-MIN($AB31:$AM31))/$AN31</f>
        <v>0.1575</v>
      </c>
      <c r="X31" s="71"/>
      <c r="Y31" s="75"/>
      <c r="Z31" s="99" t="s">
        <v>107</v>
      </c>
      <c r="AA31" s="112"/>
      <c r="AB31" s="112">
        <f>Proposition!T$24+Proposition!T$29+Proposition!T$31+Proposition!T$44</f>
        <v>2</v>
      </c>
      <c r="AC31" s="112">
        <f>Proposition!T$24+Proposition!T$28+Proposition!T$31</f>
        <v>0</v>
      </c>
      <c r="AD31" s="112">
        <f>Proposition!T$27+Proposition!T$26+Proposition!T$29+Proposition!T$31+Proposition!T$41</f>
        <v>9</v>
      </c>
      <c r="AE31" s="112">
        <f>Proposition!T$27+Proposition!T$29+Proposition!T$31+Proposition!T$36+Proposition!T$37</f>
        <v>9</v>
      </c>
      <c r="AF31" s="112">
        <f>Proposition!T$24*2+Proposition!T$28+Proposition!T$30+Proposition!T$36</f>
        <v>-2</v>
      </c>
      <c r="AG31" s="112">
        <f>Proposition!T$24*2+Proposition!T$29+Proposition!T$31</f>
        <v>2</v>
      </c>
      <c r="AH31" s="112">
        <f>Proposition!T$27+Proposition!T$28+Proposition!T$31</f>
        <v>2</v>
      </c>
      <c r="AI31" s="112">
        <f>Proposition!T$24+Proposition!T$31</f>
        <v>1</v>
      </c>
      <c r="AJ31" s="112">
        <f>Proposition!T$24+Proposition!T$28+Proposition!T$30+Proposition!T$36</f>
        <v>-1</v>
      </c>
      <c r="AK31" s="112">
        <f>Proposition!T$24*2+Proposition!T$28+Proposition!T$31+Proposition!T$42</f>
        <v>1</v>
      </c>
      <c r="AL31" s="112">
        <f>Proposition!T$24+Proposition!T$29+Proposition!T$31+Proposition!T$36+Proposition!T$41</f>
        <v>7</v>
      </c>
      <c r="AM31" s="112"/>
      <c r="AN31" s="99">
        <f ca="1">SUM(AB31-MIN(AB31:AM31),AC31-MIN(AB31:AM31),AD31-MIN(AB31:AM31),AE31-MIN(AB31:AM31),AF31-MIN(AB31:AM31),AG31-MIN(AB31:AM31),AH31-MIN(AB31:AM31),AI31-MIN(AB31:AM31),AJ31-MIN(AB31:AM31),AK31-MIN(AB31:AM31),AL31-MIN(AB31:AM31))+(L31*SUM(AB31-MIN(AB31:AM31),AC31-MIN(AB31:AM31),AD31-MIN(AB31:AM31),AE31-MIN(AB31:AM31),AF31-MIN(AB31:AM31),AG31-MIN(AB31:AM31),AH31-MIN(AB31:AM31),AI31-MIN(AB31:AM31),AJ31-MIN(AB31:AM31),AK31-MIN(AB31:AM31),AL31-MIN(AB31:AM31)))/(1-L31)</f>
        <v>57.142857142857139</v>
      </c>
      <c r="AO31" s="99"/>
    </row>
    <row r="32" spans="1:41" x14ac:dyDescent="0.25">
      <c r="J32" s="87">
        <f t="shared" ca="1" si="3"/>
        <v>0.35000000000000009</v>
      </c>
      <c r="K32" s="74" t="s">
        <v>134</v>
      </c>
      <c r="L32" s="4"/>
      <c r="M32" s="4">
        <f ca="1">RANDBETWEEN(0,4)/100+0.02</f>
        <v>0.03</v>
      </c>
      <c r="N32" s="4">
        <f ca="1">RANDBETWEEN(0,4)/100+0.02</f>
        <v>0.02</v>
      </c>
      <c r="O32" s="4">
        <f t="shared" ref="O32" ca="1" si="38">RANDBETWEEN(0,4)/100</f>
        <v>0.04</v>
      </c>
      <c r="P32" s="4">
        <f ca="1">RANDBETWEEN(0,4)/100+0.06</f>
        <v>0.1</v>
      </c>
      <c r="Q32" s="4">
        <f t="shared" ref="Q32:X33" ca="1" si="39">RANDBETWEEN(0,3)/100</f>
        <v>0.01</v>
      </c>
      <c r="R32" s="4">
        <f t="shared" ca="1" si="39"/>
        <v>0.02</v>
      </c>
      <c r="S32" s="4">
        <f t="shared" ca="1" si="39"/>
        <v>0.03</v>
      </c>
      <c r="T32" s="4">
        <f t="shared" ca="1" si="39"/>
        <v>0</v>
      </c>
      <c r="U32" s="4">
        <f t="shared" ca="1" si="39"/>
        <v>0.03</v>
      </c>
      <c r="V32" s="4">
        <f t="shared" ca="1" si="39"/>
        <v>0.03</v>
      </c>
      <c r="W32" s="4">
        <f t="shared" ca="1" si="39"/>
        <v>0.03</v>
      </c>
      <c r="X32" s="4">
        <f t="shared" ca="1" si="39"/>
        <v>0.01</v>
      </c>
      <c r="Y32" s="75"/>
      <c r="Z32" s="116"/>
      <c r="AA32" s="116"/>
      <c r="AB32" s="116"/>
      <c r="AC32" s="99"/>
      <c r="AD32" s="99"/>
      <c r="AE32" s="99"/>
      <c r="AF32" s="99"/>
      <c r="AG32" s="99"/>
      <c r="AH32" s="99"/>
      <c r="AI32" s="99"/>
      <c r="AJ32" s="99"/>
      <c r="AK32" s="99"/>
      <c r="AL32" s="99"/>
      <c r="AM32" s="99"/>
      <c r="AN32" s="99"/>
      <c r="AO32" s="99"/>
    </row>
    <row r="33" spans="10:41" x14ac:dyDescent="0.25">
      <c r="J33" s="87">
        <f t="shared" ca="1" si="3"/>
        <v>0.35000000000000003</v>
      </c>
      <c r="K33" s="74" t="s">
        <v>133</v>
      </c>
      <c r="L33" s="4"/>
      <c r="M33" s="4">
        <f ca="1">RANDBETWEEN(0,4)/100+0.02</f>
        <v>0.04</v>
      </c>
      <c r="N33" s="4">
        <f ca="1">RANDBETWEEN(0,4)/100+0.02</f>
        <v>0.03</v>
      </c>
      <c r="O33" s="4">
        <f ca="1">RANDBETWEEN(0,4)/100+0.02</f>
        <v>0.04</v>
      </c>
      <c r="P33" s="4">
        <f ca="1">RANDBETWEEN(0,4)/100+0.03</f>
        <v>0.06</v>
      </c>
      <c r="Q33" s="4">
        <f ca="1">RANDBETWEEN(0,3)/100+0.03</f>
        <v>0.06</v>
      </c>
      <c r="R33" s="4">
        <f t="shared" ca="1" si="39"/>
        <v>0.03</v>
      </c>
      <c r="S33" s="4">
        <f t="shared" ca="1" si="39"/>
        <v>0</v>
      </c>
      <c r="T33" s="4">
        <f t="shared" ca="1" si="39"/>
        <v>0.02</v>
      </c>
      <c r="U33" s="4">
        <f ca="1">RANDBETWEEN(0,3)/100+0.02</f>
        <v>0.04</v>
      </c>
      <c r="V33" s="4">
        <f t="shared" ca="1" si="39"/>
        <v>0.01</v>
      </c>
      <c r="W33" s="4">
        <f t="shared" ca="1" si="39"/>
        <v>0</v>
      </c>
      <c r="X33" s="4">
        <f ca="1">RANDBETWEEN(0,3)/100+0.02</f>
        <v>0.02</v>
      </c>
      <c r="Y33" s="75"/>
      <c r="Z33" s="116"/>
      <c r="AA33" s="116"/>
      <c r="AB33" s="116"/>
      <c r="AC33" s="99"/>
      <c r="AD33" s="99"/>
      <c r="AE33" s="99"/>
      <c r="AF33" s="99"/>
      <c r="AG33" s="99"/>
      <c r="AH33" s="99"/>
      <c r="AI33" s="99"/>
      <c r="AJ33" s="99"/>
      <c r="AK33" s="99"/>
      <c r="AL33" s="99"/>
      <c r="AM33" s="99"/>
      <c r="AN33" s="99"/>
      <c r="AO33" s="99"/>
    </row>
    <row r="34" spans="10:41" x14ac:dyDescent="0.25">
      <c r="J34" s="87"/>
      <c r="L34" s="4"/>
      <c r="M34" s="4"/>
      <c r="N34" s="4"/>
      <c r="O34" s="4"/>
      <c r="P34" s="4"/>
      <c r="Q34" s="4"/>
      <c r="R34" s="4"/>
      <c r="S34" s="4"/>
      <c r="T34" s="4"/>
      <c r="U34" s="4"/>
      <c r="V34" s="4"/>
      <c r="W34" s="4"/>
      <c r="X34" s="4"/>
      <c r="Y34" s="75"/>
      <c r="Z34" s="116"/>
      <c r="AA34" s="116"/>
      <c r="AB34" s="116"/>
      <c r="AC34" s="99"/>
      <c r="AD34" s="99"/>
      <c r="AE34" s="99"/>
      <c r="AF34" s="99"/>
      <c r="AG34" s="99"/>
      <c r="AH34" s="99"/>
      <c r="AI34" s="99"/>
      <c r="AJ34" s="99"/>
      <c r="AK34" s="99"/>
      <c r="AL34" s="99"/>
      <c r="AM34" s="99"/>
      <c r="AN34" s="99"/>
      <c r="AO34" s="99"/>
    </row>
    <row r="35" spans="10:41" x14ac:dyDescent="0.25">
      <c r="J35" s="87"/>
      <c r="O35" s="4"/>
      <c r="P35" s="4"/>
      <c r="Q35" s="4"/>
      <c r="R35" s="4"/>
      <c r="S35" s="4"/>
      <c r="T35" s="4"/>
      <c r="U35" s="4"/>
      <c r="V35" s="4"/>
      <c r="W35" s="4"/>
      <c r="X35" s="4"/>
      <c r="Y35" s="75"/>
      <c r="Z35" s="116"/>
      <c r="AA35" s="116"/>
      <c r="AB35" s="116"/>
      <c r="AC35" s="99"/>
      <c r="AD35" s="99"/>
      <c r="AE35" s="99"/>
      <c r="AF35" s="99"/>
      <c r="AG35" s="99"/>
      <c r="AH35" s="99"/>
      <c r="AI35" s="99"/>
      <c r="AJ35" s="99"/>
      <c r="AK35" s="99"/>
      <c r="AL35" s="99"/>
      <c r="AM35" s="99"/>
      <c r="AN35" s="99"/>
      <c r="AO35" s="99"/>
    </row>
    <row r="36" spans="10:41" x14ac:dyDescent="0.25">
      <c r="J36" s="87"/>
      <c r="O36" s="4"/>
      <c r="P36" s="4"/>
      <c r="Q36" s="4"/>
      <c r="R36" s="4"/>
      <c r="S36" s="4"/>
      <c r="T36" s="4"/>
      <c r="U36" s="4"/>
      <c r="V36" s="4"/>
      <c r="W36" s="4"/>
      <c r="X36" s="4"/>
      <c r="Y36" s="75"/>
      <c r="Z36" s="116"/>
      <c r="AA36" s="116"/>
      <c r="AB36" s="116"/>
      <c r="AC36" s="99"/>
      <c r="AD36" s="99"/>
      <c r="AE36" s="99"/>
      <c r="AF36" s="99"/>
      <c r="AG36" s="99"/>
      <c r="AH36" s="99"/>
      <c r="AI36" s="99"/>
      <c r="AJ36" s="99"/>
      <c r="AK36" s="99"/>
      <c r="AL36" s="99"/>
      <c r="AM36" s="99"/>
      <c r="AN36" s="99"/>
      <c r="AO36" s="99"/>
    </row>
    <row r="37" spans="10:41" x14ac:dyDescent="0.25">
      <c r="J37" s="87"/>
      <c r="L37" s="4"/>
      <c r="M37" s="4"/>
      <c r="N37" s="4"/>
      <c r="O37" s="4"/>
      <c r="P37" s="4"/>
      <c r="Q37" s="4"/>
      <c r="R37" s="4"/>
      <c r="S37" s="4"/>
      <c r="T37" s="4"/>
      <c r="U37" s="4"/>
      <c r="V37" s="4"/>
      <c r="W37" s="4"/>
      <c r="X37" s="4"/>
      <c r="Y37" s="4"/>
      <c r="Z37" s="117"/>
      <c r="AA37" s="117"/>
      <c r="AB37" s="117"/>
      <c r="AC37" s="99"/>
      <c r="AD37" s="99"/>
      <c r="AE37" s="99"/>
      <c r="AF37" s="99"/>
      <c r="AG37" s="99"/>
      <c r="AH37" s="99"/>
      <c r="AI37" s="99"/>
      <c r="AJ37" s="99"/>
      <c r="AK37" s="99"/>
      <c r="AL37" s="99"/>
      <c r="AM37" s="99"/>
      <c r="AN37" s="99"/>
      <c r="AO37" s="99"/>
    </row>
  </sheetData>
  <mergeCells count="1">
    <mergeCell ref="E2:F2"/>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30A2-F8C1-4AD0-9A38-CF86BC8333FE}">
  <dimension ref="A1:AJ37"/>
  <sheetViews>
    <sheetView workbookViewId="0"/>
  </sheetViews>
  <sheetFormatPr baseColWidth="10" defaultRowHeight="15" x14ac:dyDescent="0.25"/>
  <cols>
    <col min="1" max="1" width="21.7109375" customWidth="1"/>
    <col min="6" max="6" width="5.7109375" customWidth="1"/>
    <col min="10" max="10" width="11.42578125" style="99"/>
    <col min="12" max="22" width="5.7109375" customWidth="1"/>
    <col min="23" max="35" width="11.42578125" customWidth="1"/>
  </cols>
  <sheetData>
    <row r="1" spans="1:36" ht="15.75" thickBot="1" x14ac:dyDescent="0.3"/>
    <row r="2" spans="1:36" ht="15.75" thickBot="1" x14ac:dyDescent="0.3">
      <c r="E2" s="176" t="s">
        <v>166</v>
      </c>
      <c r="F2" s="177"/>
      <c r="G2" s="68" t="s">
        <v>28</v>
      </c>
      <c r="H2" s="11" t="s">
        <v>131</v>
      </c>
      <c r="I2" s="11" t="s">
        <v>132</v>
      </c>
      <c r="L2" s="69"/>
      <c r="M2" s="45"/>
      <c r="N2" s="46"/>
      <c r="O2" s="47"/>
      <c r="P2" s="45"/>
      <c r="Q2" s="46"/>
      <c r="R2" s="64"/>
      <c r="S2" s="46"/>
      <c r="T2" s="45"/>
      <c r="U2" s="45"/>
      <c r="V2" s="45"/>
      <c r="X2" s="99"/>
      <c r="Y2" s="99"/>
      <c r="Z2" s="99"/>
      <c r="AA2" s="99"/>
      <c r="AB2" s="99"/>
      <c r="AC2" s="99"/>
      <c r="AD2" s="99"/>
      <c r="AE2" s="99"/>
      <c r="AF2" s="99"/>
      <c r="AG2" s="99"/>
      <c r="AH2" s="99"/>
      <c r="AI2" s="99"/>
      <c r="AJ2" s="99"/>
    </row>
    <row r="3" spans="1:36" x14ac:dyDescent="0.25">
      <c r="A3" s="113" t="s">
        <v>177</v>
      </c>
      <c r="B3" t="s">
        <v>54</v>
      </c>
      <c r="D3" s="45" t="s">
        <v>66</v>
      </c>
      <c r="E3" s="153">
        <v>10272705</v>
      </c>
      <c r="F3" s="120">
        <f>E3/SUM(E$3:E$12)</f>
        <v>0.28628167007025485</v>
      </c>
      <c r="G3" s="13">
        <f ca="1">(H3-I3/(COUNTA(B$3:B$11)/2))/100000</f>
        <v>113.17958570703517</v>
      </c>
      <c r="H3" s="20">
        <f>E3+M$4*E$4+M$5*E$5+M$6*E$6+M$7*E$7+M$8*E$8+M$9*E$9+M$10*E$10+M$11*E$11+E$12*M$12</f>
        <v>11843403.127289098</v>
      </c>
      <c r="I3" s="67">
        <f ca="1">M$21*E$4+M$22*E$5+M$23*E$6+M$24*E$7+M$25*E$8+M$26*E$9+M$27*E$10+M$28*E$11+E$12*M$29+B15*M$30+B17*M$31</f>
        <v>2364500.5046351114</v>
      </c>
      <c r="J3" s="87">
        <f>SUM(L3:V3)</f>
        <v>1.0000000000000002</v>
      </c>
      <c r="K3" s="45" t="s">
        <v>66</v>
      </c>
      <c r="L3" s="4">
        <v>0.55000000000000004</v>
      </c>
      <c r="M3" s="70"/>
      <c r="N3" s="4">
        <f>(AA3-MIN($Z3:$AI3))/$AJ3</f>
        <v>5.1923076923076919E-2</v>
      </c>
      <c r="O3" s="4">
        <f t="shared" ref="O3:V3" si="0">(AB3-MIN($Z3:$AI3))/$AJ3</f>
        <v>0</v>
      </c>
      <c r="P3" s="4">
        <f t="shared" si="0"/>
        <v>5.1923076923076919E-2</v>
      </c>
      <c r="Q3" s="4">
        <f t="shared" si="0"/>
        <v>5.1923076923076919E-2</v>
      </c>
      <c r="R3" s="4">
        <f t="shared" si="0"/>
        <v>6.9230769230769221E-2</v>
      </c>
      <c r="S3" s="4">
        <f t="shared" si="0"/>
        <v>3.461538461538461E-2</v>
      </c>
      <c r="T3" s="4">
        <f t="shared" si="0"/>
        <v>6.057692307692307E-2</v>
      </c>
      <c r="U3" s="4">
        <f t="shared" si="0"/>
        <v>6.057692307692307E-2</v>
      </c>
      <c r="V3" s="4">
        <f t="shared" si="0"/>
        <v>6.9230769230769221E-2</v>
      </c>
      <c r="W3" s="75"/>
      <c r="X3" s="99" t="s">
        <v>66</v>
      </c>
      <c r="Y3" s="99"/>
      <c r="Z3" s="85"/>
      <c r="AA3" s="85">
        <f>Proposition!S$24+Proposition!S$25+Proposition!S$29+Proposition!S$31+Proposition!S$38+Proposition!S$39+Proposition!S$42</f>
        <v>-3</v>
      </c>
      <c r="AB3" s="85">
        <f>Proposition!S$27+Proposition!S$29+Proposition!S$31+Proposition!S$35+Proposition!S$37+Proposition!S$38</f>
        <v>-9</v>
      </c>
      <c r="AC3" s="85">
        <f>Proposition!S$27+Proposition!S$28+Proposition!S$31+Proposition!S$38</f>
        <v>-3</v>
      </c>
      <c r="AD3" s="85">
        <f>Proposition!S$25+Proposition!S$29+Proposition!S$31+Proposition!S$41</f>
        <v>-3</v>
      </c>
      <c r="AE3" s="85">
        <f>Proposition!S$27+Proposition!S$28+Proposition!S$31</f>
        <v>-1</v>
      </c>
      <c r="AF3" s="85">
        <f>Proposition!S$27+Proposition!S$29+Proposition!S$31+Proposition!S$41</f>
        <v>-5</v>
      </c>
      <c r="AG3" s="85">
        <f>Proposition!S$27+Proposition!S$28+Proposition!S$31+Proposition!S$34</f>
        <v>-2</v>
      </c>
      <c r="AH3" s="85">
        <f>Proposition!S$27+Proposition!S$28+Proposition!S$31+Proposition!S$34</f>
        <v>-2</v>
      </c>
      <c r="AI3" s="85">
        <f>Proposition!S$27+Proposition!S$28+Proposition!S$31</f>
        <v>-1</v>
      </c>
      <c r="AJ3" s="99">
        <f>SUM(AA3-MIN(Z3:AI3),AB3-MIN(Z3:AI3),AC3-MIN(Z3:AI3),AD3-MIN(Z3:AI3),AE3-MIN(Z3:AI3),AF3-MIN(Z3:AI3),AG3-MIN(Z3:AI3),AH3-MIN(Z3:AI3),AI3-MIN(Z3:AI3))+((L3*SUM(AA3-MIN(Z3:AI3),AB3-MIN(Z3:AI3),AC3-MIN(Z3:AI3),AD3-MIN(Z3:AI3),AE3-MIN(Z3:AI3),AF3-MIN(Z3:AI3),AG3-MIN(Z3:AI3),AH3-MIN(Z3:AI3),AI3-MIN(Z3:AI3)))/(1-L3))</f>
        <v>115.55555555555557</v>
      </c>
    </row>
    <row r="4" spans="1:36" x14ac:dyDescent="0.25">
      <c r="A4" s="113" t="s">
        <v>176</v>
      </c>
      <c r="B4" t="s">
        <v>52</v>
      </c>
      <c r="D4" s="46" t="s">
        <v>84</v>
      </c>
      <c r="E4" s="153">
        <v>9753629</v>
      </c>
      <c r="F4" s="120">
        <f t="shared" ref="F4:F12" si="1">E4/SUM(E$3:E$12)</f>
        <v>0.27181596272507291</v>
      </c>
      <c r="G4" s="13">
        <f t="shared" ref="G4:G12" ca="1" si="2">(H4-I4/(COUNTA(B$3:B$11)/2))/100000</f>
        <v>105.39451578052294</v>
      </c>
      <c r="H4" s="20">
        <f>E4+N$3*E$3+N$5*E$5+N$6*E$6+N$7*E$7+N$8*E$8+N$9*E$9+N$10*E$10+N$11*E$11+E$12*N$12</f>
        <v>11697758.717658009</v>
      </c>
      <c r="I4" s="67">
        <f ca="1">N$20*E$3+N$22*E$5+N$23*E$6+N$24*E$7+N$25*E$8+N$26*E$9+N$27*E$10+N$28*E$11+E$12*N$29+B15*N$30+B17*N$31</f>
        <v>5212382.1282257251</v>
      </c>
      <c r="J4" s="87">
        <f t="shared" ref="J4:J30" si="3">SUM(L4:V4)</f>
        <v>0.99999999999999989</v>
      </c>
      <c r="K4" s="46" t="s">
        <v>84</v>
      </c>
      <c r="L4" s="4">
        <v>0.55000000000000004</v>
      </c>
      <c r="M4" s="4">
        <f t="shared" ref="M4:M12" si="4">(Z4-MIN($Z4:$AI4))/$AJ4</f>
        <v>5.6249999999999988E-2</v>
      </c>
      <c r="N4" s="71"/>
      <c r="O4" s="4">
        <f t="shared" ref="O4:O12" si="5">(AB4-MIN($Z4:$AI4))/$AJ4</f>
        <v>9.3749999999999986E-2</v>
      </c>
      <c r="P4" s="4">
        <f t="shared" ref="P4:P12" si="6">(AC4-MIN($Z4:$AI4))/$AJ4</f>
        <v>0</v>
      </c>
      <c r="Q4" s="4">
        <f t="shared" ref="Q4:Q12" si="7">(AD4-MIN($Z4:$AI4))/$AJ4</f>
        <v>0.11249999999999998</v>
      </c>
      <c r="R4" s="4">
        <f t="shared" ref="R4:R12" si="8">(AE4-MIN($Z4:$AI4))/$AJ4</f>
        <v>7.4999999999999983E-2</v>
      </c>
      <c r="S4" s="4">
        <f t="shared" ref="S4:S12" si="9">(AF4-MIN($Z4:$AI4))/$AJ4</f>
        <v>7.4999999999999983E-2</v>
      </c>
      <c r="T4" s="4">
        <f t="shared" ref="T4:T12" si="10">(AG4-MIN($Z4:$AI4))/$AJ4</f>
        <v>0</v>
      </c>
      <c r="U4" s="4">
        <f t="shared" ref="U4:U12" si="11">(AH4-MIN($Z4:$AI4))/$AJ4</f>
        <v>0</v>
      </c>
      <c r="V4" s="4">
        <f t="shared" ref="V4:V11" si="12">(AI4-MIN($Z4:$AI4))/$AJ4</f>
        <v>3.7499999999999992E-2</v>
      </c>
      <c r="W4" s="75"/>
      <c r="X4" s="99" t="s">
        <v>84</v>
      </c>
      <c r="Y4" s="99"/>
      <c r="Z4" s="85">
        <f>Proposition!S$24+Proposition!S$29+Proposition!S$31+Proposition!S$38</f>
        <v>-3</v>
      </c>
      <c r="AA4" s="85"/>
      <c r="AB4" s="85">
        <f>Proposition!S$24+Proposition!S$25+Proposition!S$28+Proposition!S$31+Proposition!S$34+Proposition!S$37+Proposition!S$38</f>
        <v>-1</v>
      </c>
      <c r="AC4" s="85">
        <f>Proposition!S$27+Proposition!S$29+Proposition!S$31+Proposition!S$38</f>
        <v>-6</v>
      </c>
      <c r="AD4" s="85">
        <f>Proposition!S$25+Proposition!S$28+Proposition!S$31+Proposition!S$41</f>
        <v>0</v>
      </c>
      <c r="AE4" s="85">
        <f>Proposition!S$27+Proposition!S$31</f>
        <v>-2</v>
      </c>
      <c r="AF4" s="85">
        <f>Proposition!S$27+Proposition!S$28+Proposition!S$31+Proposition!S$41</f>
        <v>-2</v>
      </c>
      <c r="AG4" s="85">
        <f>Proposition!S$27+Proposition!S$29+Proposition!S$31+Proposition!S$35</f>
        <v>-6</v>
      </c>
      <c r="AH4" s="85">
        <f>Proposition!S$27+Proposition!S$29+Proposition!S$31+Proposition!S$35</f>
        <v>-6</v>
      </c>
      <c r="AI4" s="85">
        <f>Proposition!S$27+Proposition!S$29+Proposition!S$31</f>
        <v>-4</v>
      </c>
      <c r="AJ4" s="99">
        <f>SUM(Z4-MIN(Z4:AI4),AB4-MIN(Z4:AI4),AC4-MIN(Z4:AI4),AD4-MIN(Z4:AI4),AE4-MIN(Z4:AI4),AF4-MIN(Z4:AI4),AG4-MIN(Z4:AI4),AH4-MIN(Z4:AI4),AI4-MIN(Z4:AI4))+((L4*SUM(Z4-MIN(Z4:AI4),AB4-MIN(Z4:AI4),AC4-MIN(Z4:AI4),AD4-MIN(Z4:AI4),AE4-MIN(Z4:AI4),AF4-MIN(Z4:AI4),AG4-MIN(Z4:AI4),AH4-MIN(Z4:AI4),AI4-MIN(Z4:AI4)))/(1-L4))</f>
        <v>53.333333333333343</v>
      </c>
    </row>
    <row r="5" spans="1:36" x14ac:dyDescent="0.25">
      <c r="A5" s="113" t="s">
        <v>178</v>
      </c>
      <c r="B5" t="s">
        <v>56</v>
      </c>
      <c r="D5" s="47" t="s">
        <v>60</v>
      </c>
      <c r="E5" s="153">
        <v>6421426</v>
      </c>
      <c r="F5" s="120">
        <f t="shared" si="1"/>
        <v>0.17895350440926283</v>
      </c>
      <c r="G5" s="13">
        <f t="shared" ca="1" si="2"/>
        <v>70.294962734808422</v>
      </c>
      <c r="H5" s="20">
        <f>E5+O$4*E$4+O$3*E$3+O$6*E$6+O$7*E$7+O$8*E$8+O$9*E$9+O$10*E$10+O$11*E$11+E$12*O$12</f>
        <v>8237856.2337170476</v>
      </c>
      <c r="I5" s="67">
        <f ca="1">O$21*E$4+O$20*E$3+O$23*E$6+O$24*E$7+O$25*E$8+O$26*E$9+O$27*E$10+O$28*E$11+E$12*O$29+B15*O$30+B17*O$31</f>
        <v>5437619.8210629243</v>
      </c>
      <c r="J5" s="87">
        <f t="shared" si="3"/>
        <v>1</v>
      </c>
      <c r="K5" s="47" t="s">
        <v>60</v>
      </c>
      <c r="L5" s="4">
        <v>0.34</v>
      </c>
      <c r="M5" s="82">
        <f t="shared" si="4"/>
        <v>0</v>
      </c>
      <c r="N5" s="82">
        <f t="shared" ref="N5:N12" si="13">(AA5-MIN($Z5:$AI5))/$AJ5</f>
        <v>9.103448275862068E-2</v>
      </c>
      <c r="O5" s="71"/>
      <c r="P5" s="4">
        <f t="shared" si="6"/>
        <v>0.13655172413793101</v>
      </c>
      <c r="Q5" s="4">
        <f t="shared" si="7"/>
        <v>9.103448275862068E-2</v>
      </c>
      <c r="R5" s="4">
        <f t="shared" si="8"/>
        <v>6.8275862068965507E-2</v>
      </c>
      <c r="S5" s="4">
        <f t="shared" si="9"/>
        <v>0.15931034482758619</v>
      </c>
      <c r="T5" s="4">
        <f t="shared" si="10"/>
        <v>6.8275862068965507E-2</v>
      </c>
      <c r="U5" s="4">
        <f t="shared" si="11"/>
        <v>0</v>
      </c>
      <c r="V5" s="4">
        <f t="shared" si="12"/>
        <v>4.551724137931034E-2</v>
      </c>
      <c r="W5" s="75"/>
      <c r="X5" s="99" t="s">
        <v>60</v>
      </c>
      <c r="Y5" s="99"/>
      <c r="Z5" s="112">
        <f>Proposition!S$27+Proposition!S$29+Proposition!S$31+Proposition!S$38</f>
        <v>-6</v>
      </c>
      <c r="AA5" s="112">
        <f>Proposition!S$24+Proposition!S$25+Proposition!S$28+Proposition!S$31+Proposition!S$33+Proposition!S$38+Proposition!S$39+Proposition!S$42</f>
        <v>-2</v>
      </c>
      <c r="AB5" s="85"/>
      <c r="AC5" s="85">
        <f>Proposition!S$24*2+Proposition!S$25+Proposition!S$29+Proposition!S$31+Proposition!S$38</f>
        <v>0</v>
      </c>
      <c r="AD5" s="85">
        <f>Proposition!S$27+Proposition!S$28+Proposition!S$31+Proposition!S$41</f>
        <v>-2</v>
      </c>
      <c r="AE5" s="85">
        <f>Proposition!S$26+Proposition!S$31</f>
        <v>-3</v>
      </c>
      <c r="AF5" s="85">
        <f>Proposition!S$24+Proposition!S$28+Proposition!S$31+Proposition!S$41</f>
        <v>1</v>
      </c>
      <c r="AG5" s="85">
        <f>Proposition!S$24+Proposition!S$29+Proposition!S$31+Proposition!S$36</f>
        <v>-3</v>
      </c>
      <c r="AH5" s="85">
        <f>Proposition!S$27+Proposition!S$29+Proposition!S$31+Proposition!S$36</f>
        <v>-6</v>
      </c>
      <c r="AI5" s="85">
        <f>Proposition!S$27+Proposition!S$29+Proposition!S$31</f>
        <v>-4</v>
      </c>
      <c r="AJ5" s="99">
        <f>SUM(Z5-MIN(Z5:AI5),AA5-MIN(Z5:AI5),AC5-MIN(Z5:AI5),AD5-MIN(Z5:AI5),AE5-MIN(Z5:AI5),AF5-MIN(Z5:AI5),AG5-MIN(Z5:AI5),AH5-MIN(Z5:AI5),AI5-MIN(Z5:AI5))+((L5*SUM(Z5-MIN(Z5:AI5),AA5-MIN(Z5:AI5),AC5-MIN(Z5:AI5),AD5-MIN(Z5:AI5),AE5-MIN(Z5:AI5),AF5-MIN(Z5:AI5),AG5-MIN(Z5:AI5),AH5-MIN(Z5:AI5),AI5-MIN(Z5:AI5)))/(1-L5))</f>
        <v>43.939393939393945</v>
      </c>
    </row>
    <row r="6" spans="1:36" x14ac:dyDescent="0.25">
      <c r="A6" s="130"/>
      <c r="B6" t="s">
        <v>63</v>
      </c>
      <c r="D6" s="45" t="s">
        <v>85</v>
      </c>
      <c r="E6" s="153">
        <v>3984822</v>
      </c>
      <c r="F6" s="120">
        <f t="shared" si="1"/>
        <v>0.11104976703727919</v>
      </c>
      <c r="G6" s="13">
        <f t="shared" ca="1" si="2"/>
        <v>54.245652946394792</v>
      </c>
      <c r="H6" s="20">
        <f>E6+P$4*E$4+P$5*E$5+P$3*E$3+P$7*E$7+P$8*E$8+P$9*E$9+P$10*E$10+P$11*E$11+E$12*P$12</f>
        <v>6032456.0311205061</v>
      </c>
      <c r="I6" s="67">
        <f ca="1">P$21*E$4+P$22*E$5+P$20*E$3+P$24*E$7+P$25*E$8+P$26*E$9+P$27*E$10+P$28*E$11+E$12*P$29+B15*P$30+B17*P$31</f>
        <v>2735508.3141646199</v>
      </c>
      <c r="J6" s="87">
        <f t="shared" si="3"/>
        <v>0.99999999999999989</v>
      </c>
      <c r="K6" s="45" t="s">
        <v>85</v>
      </c>
      <c r="L6" s="4">
        <v>0.13</v>
      </c>
      <c r="M6" s="83">
        <f t="shared" si="4"/>
        <v>9.1578947368421051E-2</v>
      </c>
      <c r="N6" s="83">
        <f t="shared" si="13"/>
        <v>0</v>
      </c>
      <c r="O6" s="4">
        <f t="shared" si="5"/>
        <v>9.1578947368421051E-2</v>
      </c>
      <c r="P6" s="71"/>
      <c r="Q6" s="4">
        <f t="shared" si="7"/>
        <v>6.1052631578947365E-2</v>
      </c>
      <c r="R6" s="4">
        <f t="shared" si="8"/>
        <v>0.13736842105263158</v>
      </c>
      <c r="S6" s="4">
        <f t="shared" si="9"/>
        <v>0.10684210526315789</v>
      </c>
      <c r="T6" s="4">
        <f t="shared" si="10"/>
        <v>0.15263157894736842</v>
      </c>
      <c r="U6" s="4">
        <f t="shared" si="11"/>
        <v>0.10684210526315789</v>
      </c>
      <c r="V6" s="4">
        <f t="shared" si="12"/>
        <v>0.12210526315789473</v>
      </c>
      <c r="W6" s="75"/>
      <c r="X6" s="99" t="s">
        <v>85</v>
      </c>
      <c r="Y6" s="99"/>
      <c r="Z6" s="112">
        <f>Proposition!S$27+Proposition!S$28+Proposition!S$31+Proposition!S$38</f>
        <v>-3</v>
      </c>
      <c r="AA6" s="112">
        <f>Proposition!S$27+Proposition!S$29+Proposition!S$31+Proposition!S$33+Proposition!S$38+Proposition!S$39+Proposition!S$42</f>
        <v>-9</v>
      </c>
      <c r="AB6" s="85">
        <f>Proposition!S$24*2+Proposition!S$25+Proposition!S$29+Proposition!S$31+Proposition!S$35+Proposition!S$37+Proposition!S$38</f>
        <v>-3</v>
      </c>
      <c r="AC6" s="85"/>
      <c r="AD6" s="85">
        <f>Proposition!S$27+Proposition!S$29+Proposition!S$31+Proposition!S$41</f>
        <v>-5</v>
      </c>
      <c r="AE6" s="85">
        <f>Proposition!S$24+Proposition!S$26+Proposition!S$28+Proposition!S$31</f>
        <v>0</v>
      </c>
      <c r="AF6" s="85">
        <f>Proposition!S$24+Proposition!S$29+Proposition!S$31+Proposition!S$41</f>
        <v>-2</v>
      </c>
      <c r="AG6" s="85">
        <f>Proposition!S$24+Proposition!S$28+Proposition!S$31+Proposition!S$34</f>
        <v>1</v>
      </c>
      <c r="AH6" s="85">
        <f>Proposition!S$27+Proposition!S$28+Proposition!S$31+Proposition!S$34</f>
        <v>-2</v>
      </c>
      <c r="AI6" s="85">
        <f>Proposition!S$27+Proposition!S$28+Proposition!S$31</f>
        <v>-1</v>
      </c>
      <c r="AJ6" s="99">
        <f>SUM(Z6-MIN(Z6:AI6),AA6-MIN(Z6:AI6),AB6-MIN(Z6:AI6),AD6-MIN(Z6:AI6),AE6-MIN(Z6:AI6),AF6-MIN(Z6:AI6),AG6-MIN(Z6:AI6),AH6-MIN(Z6:AI6),AI6-MIN(Z6:AI6))+((L6*SUM(Z6-MIN(Z6:AI6),AA6-MIN(Z6:AI6),AB6-MIN(Z6:AI6),AD6-MIN(Z6:AI6),AE6-MIN(Z6:AI6),AF6-MIN(Z6:AI6),AG6-MIN(Z6:AI6),AH6-MIN(Z6:AI6),AI6-MIN(Z6:AI6)))/(1-L6))</f>
        <v>65.517241379310349</v>
      </c>
    </row>
    <row r="7" spans="1:36" x14ac:dyDescent="0.25">
      <c r="A7" s="130"/>
      <c r="B7" t="s">
        <v>86</v>
      </c>
      <c r="D7" s="46" t="s">
        <v>87</v>
      </c>
      <c r="E7" s="153">
        <v>3275122</v>
      </c>
      <c r="F7" s="120">
        <f t="shared" si="1"/>
        <v>9.1271714299576714E-2</v>
      </c>
      <c r="G7" s="13">
        <f t="shared" ca="1" si="2"/>
        <v>52.138338377386596</v>
      </c>
      <c r="H7" s="20">
        <f>E7+Q$4*E$4+Q$5*E$5+Q$6*E$6+Q$3*E$3+Q$8*E$8+Q$9*E$9+Q$10*E$10+Q$11*E$11+E$12*Q$12</f>
        <v>5843963.6400316935</v>
      </c>
      <c r="I7" s="67">
        <f ca="1">Q$21*E$4+Q$22*E$5+Q$23*E$6+Q$20*E$3+Q$25*E$8+Q$26*E$9+Q$27*E$10+Q$28*E$11+E$12*Q$29+B15*Q$30+B17*Q$31</f>
        <v>2835584.1103186542</v>
      </c>
      <c r="J7" s="87">
        <f t="shared" si="3"/>
        <v>1</v>
      </c>
      <c r="K7" s="46" t="s">
        <v>87</v>
      </c>
      <c r="L7" s="4">
        <v>0.08</v>
      </c>
      <c r="M7" s="83">
        <f t="shared" si="4"/>
        <v>0.1472</v>
      </c>
      <c r="N7" s="83">
        <f t="shared" si="13"/>
        <v>0.2208</v>
      </c>
      <c r="O7" s="4">
        <f t="shared" si="5"/>
        <v>0.1104</v>
      </c>
      <c r="P7" s="4">
        <f t="shared" si="6"/>
        <v>7.3599999999999999E-2</v>
      </c>
      <c r="Q7" s="71"/>
      <c r="R7" s="4">
        <f t="shared" si="8"/>
        <v>0.1472</v>
      </c>
      <c r="S7" s="4">
        <f t="shared" si="9"/>
        <v>0.1472</v>
      </c>
      <c r="T7" s="4">
        <f t="shared" si="10"/>
        <v>0</v>
      </c>
      <c r="U7" s="4">
        <f t="shared" si="11"/>
        <v>0</v>
      </c>
      <c r="V7" s="4">
        <f t="shared" si="12"/>
        <v>7.3599999999999999E-2</v>
      </c>
      <c r="W7" s="75"/>
      <c r="X7" s="99" t="s">
        <v>87</v>
      </c>
      <c r="Y7" s="99"/>
      <c r="Z7" s="112">
        <f>Proposition!S$25+Proposition!S$29+Proposition!S$31</f>
        <v>-2</v>
      </c>
      <c r="AA7" s="112">
        <f>Proposition!S$25+Proposition!S$28+Proposition!S$31+Proposition!S$39+Proposition!S$42</f>
        <v>0</v>
      </c>
      <c r="AB7" s="85">
        <f>Proposition!S$27+Proposition!S$28+Proposition!S$31+Proposition!S$34+Proposition!S$37</f>
        <v>-3</v>
      </c>
      <c r="AC7" s="85">
        <f>Proposition!S$27+Proposition!S$29+Proposition!S$31</f>
        <v>-4</v>
      </c>
      <c r="AD7" s="85"/>
      <c r="AE7" s="85">
        <f>Proposition!S$27+Proposition!S$31</f>
        <v>-2</v>
      </c>
      <c r="AF7" s="85">
        <f>Proposition!S$27+Proposition!S$28+Proposition!S$31+Proposition!S$41</f>
        <v>-2</v>
      </c>
      <c r="AG7" s="85">
        <f>Proposition!S$27+Proposition!S$29+Proposition!S$31+Proposition!S$35</f>
        <v>-6</v>
      </c>
      <c r="AH7" s="85">
        <f>Proposition!S$27+Proposition!S$29+Proposition!S$31+Proposition!S$35</f>
        <v>-6</v>
      </c>
      <c r="AI7" s="85">
        <f>Proposition!S$27+Proposition!S$29+Proposition!S$31</f>
        <v>-4</v>
      </c>
      <c r="AJ7" s="99">
        <f>SUM(Z7-MIN(Z7:AI7),AA7-MIN(Z7:AI7),AB7-MIN(Z7:AI7),AC7-MIN(Z7:AI7),AE7-MIN(Z7:AI7),AF7-MIN(Z7:AI7),AG7-MIN(Z7:AI7),AH7-MIN(Z7:AI7),AI7-MIN(Z7:AI7))+((L7*SUM(Z7-MIN(Z7:AI7),AA7-MIN(Z7:AI7),AB7-MIN(Z7:AI7),AC7-MIN(Z7:AI7),AE7-MIN(Z7:AI7),AF7-MIN(Z7:AI7),AG7-MIN(Z7:AI7),AH7-MIN(Z7:AI7),AI7-MIN(Z7:AI7)))/(1-L7))</f>
        <v>27.173913043478262</v>
      </c>
    </row>
    <row r="8" spans="1:36" x14ac:dyDescent="0.25">
      <c r="A8" s="130"/>
      <c r="B8" t="s">
        <v>88</v>
      </c>
      <c r="D8" s="64" t="s">
        <v>89</v>
      </c>
      <c r="E8" s="153">
        <v>828345</v>
      </c>
      <c r="F8" s="120">
        <f t="shared" si="1"/>
        <v>2.3084473855167188E-2</v>
      </c>
      <c r="G8" s="13">
        <f t="shared" ca="1" si="2"/>
        <v>37.044591337519591</v>
      </c>
      <c r="H8" s="20">
        <f>E8+R$4*E$4+R$5*E$5+R$6*E$6+R$7*E$7+R$3*E$3+R$9*E$9+R$10*E$10+R$11*E$11+E$12*R$12</f>
        <v>3961348.888715459</v>
      </c>
      <c r="I8" s="67">
        <f ca="1">R$21*E$4+R$22*E$5+R$23*E$6+R$24*E$7+R$20*E$3+R$26*E$9+R$27*E$10+R$28*E$11+E$12*R$29+B15*R$30+B17*R$31</f>
        <v>1156003.8973357489</v>
      </c>
      <c r="J8" s="87">
        <f t="shared" si="3"/>
        <v>0.99999999999999989</v>
      </c>
      <c r="K8" s="64" t="s">
        <v>89</v>
      </c>
      <c r="L8" s="4">
        <v>0.05</v>
      </c>
      <c r="M8" s="83">
        <f t="shared" si="4"/>
        <v>0.1</v>
      </c>
      <c r="N8" s="83">
        <f t="shared" si="13"/>
        <v>0.05</v>
      </c>
      <c r="O8" s="4">
        <f t="shared" si="5"/>
        <v>0</v>
      </c>
      <c r="P8" s="4">
        <f t="shared" si="6"/>
        <v>0.15</v>
      </c>
      <c r="Q8" s="4">
        <f t="shared" si="7"/>
        <v>0.05</v>
      </c>
      <c r="R8" s="71"/>
      <c r="S8" s="4">
        <f t="shared" si="9"/>
        <v>0</v>
      </c>
      <c r="T8" s="4">
        <f t="shared" si="10"/>
        <v>0.25</v>
      </c>
      <c r="U8" s="4">
        <f t="shared" si="11"/>
        <v>0.25</v>
      </c>
      <c r="V8" s="4">
        <f t="shared" si="12"/>
        <v>0.1</v>
      </c>
      <c r="W8" s="75"/>
      <c r="X8" s="99" t="s">
        <v>89</v>
      </c>
      <c r="Y8" s="99"/>
      <c r="Z8" s="112">
        <f>Proposition!S$27+Proposition!S$31</f>
        <v>-2</v>
      </c>
      <c r="AA8" s="112">
        <f>Proposition!S$27+Proposition!S$31+Proposition!S$39+Proposition!S$42</f>
        <v>-3</v>
      </c>
      <c r="AB8" s="85">
        <f>Proposition!S$26+Proposition!S$31+Proposition!S$37</f>
        <v>-4</v>
      </c>
      <c r="AC8" s="85">
        <f>Proposition!S$24+Proposition!S$26+Proposition!S$31</f>
        <v>-1</v>
      </c>
      <c r="AD8" s="85">
        <f>Proposition!S$27+Proposition!S$31+Proposition!S$41</f>
        <v>-3</v>
      </c>
      <c r="AE8" s="85"/>
      <c r="AF8" s="85">
        <f>Proposition!S$26+Proposition!S$31+Proposition!S$41</f>
        <v>-4</v>
      </c>
      <c r="AG8" s="85">
        <f>Proposition!S$24+Proposition!S$31</f>
        <v>1</v>
      </c>
      <c r="AH8" s="85">
        <f>Proposition!S$24+Proposition!S$31</f>
        <v>1</v>
      </c>
      <c r="AI8" s="85">
        <f>Proposition!S$27+Proposition!S$31</f>
        <v>-2</v>
      </c>
      <c r="AJ8" s="99">
        <f>SUM(Z8-MIN(Z8:AI8),AA8-MIN(Z8:AI8),AB8-MIN(Z8:AI8),AC8-MIN(Z8:AI8),AD8-MIN(Z8:AI8),AF8-MIN(Z8:AI8),AG8-MIN(Z8:AI8),AH8-MIN(Z8:AI8),AI8-MIN(Z8:AI8))+((L8*SUM(Z8-MIN(Z8:AI8),AA8-MIN(Z8:AI8),AB8-MIN(Z8:AI8),AC8-MIN(Z8:AI8),AD8-MIN(Z8:AI8),AF8-MIN(Z8:AI8),AG8-MIN(Z8:AI8),AH8-MIN(Z8:AI8),AI8-MIN(Z8:AI8)))/(1-L8))</f>
        <v>20</v>
      </c>
    </row>
    <row r="9" spans="1:36" x14ac:dyDescent="0.25">
      <c r="A9" s="130"/>
      <c r="B9" t="s">
        <v>67</v>
      </c>
      <c r="D9" s="46" t="s">
        <v>90</v>
      </c>
      <c r="E9" s="153">
        <v>643907</v>
      </c>
      <c r="F9" s="120">
        <f t="shared" si="1"/>
        <v>1.7944521071122706E-2</v>
      </c>
      <c r="G9" s="13">
        <f t="shared" ca="1" si="2"/>
        <v>28.88978583081267</v>
      </c>
      <c r="H9" s="20">
        <f>E9+S$4*E$4+S$5*E$5+S$6*E$6+S$7*E$7+S$8*E$8+S$3*E$3+S$10*E$10+S$11*E$11+E$12*S$12</f>
        <v>3692280.8627248732</v>
      </c>
      <c r="I9" s="67">
        <f ca="1">S$21*E$4+S$22*E$5+S$23*E$6+S$24*E$7+S$25*E$8+S$20*E$3+S$27*E$10+S$28*E$11+E$12*S$29+B15*S$30+B17*S$31</f>
        <v>3614860.2583962283</v>
      </c>
      <c r="J9" s="87">
        <f t="shared" si="3"/>
        <v>1</v>
      </c>
      <c r="K9" s="46" t="s">
        <v>90</v>
      </c>
      <c r="L9" s="4">
        <v>0.03</v>
      </c>
      <c r="M9" s="83">
        <f t="shared" si="4"/>
        <v>0</v>
      </c>
      <c r="N9" s="83">
        <f t="shared" si="13"/>
        <v>8.4347826086956512E-2</v>
      </c>
      <c r="O9" s="4">
        <f t="shared" si="5"/>
        <v>0.25304347826086954</v>
      </c>
      <c r="P9" s="4">
        <f t="shared" si="6"/>
        <v>0.21086956521739131</v>
      </c>
      <c r="Q9" s="4">
        <f t="shared" si="7"/>
        <v>8.4347826086956512E-2</v>
      </c>
      <c r="R9" s="4">
        <f t="shared" si="8"/>
        <v>0.12652173913043477</v>
      </c>
      <c r="S9" s="71"/>
      <c r="T9" s="4">
        <f t="shared" si="10"/>
        <v>0</v>
      </c>
      <c r="U9" s="4">
        <f t="shared" si="11"/>
        <v>0</v>
      </c>
      <c r="V9" s="4">
        <f t="shared" si="12"/>
        <v>0.21086956521739131</v>
      </c>
      <c r="W9" s="75"/>
      <c r="X9" s="99" t="s">
        <v>90</v>
      </c>
      <c r="Y9" s="99"/>
      <c r="Z9" s="112">
        <f>Proposition!S$27+Proposition!S$29+Proposition!S$31+Proposition!S$33</f>
        <v>-6</v>
      </c>
      <c r="AA9" s="112">
        <f>Proposition!S$27+Proposition!S$28+Proposition!S$31+Proposition!S$33+Proposition!S$39+Proposition!S$42</f>
        <v>-4</v>
      </c>
      <c r="AB9" s="85">
        <f>Proposition!S$24+Proposition!S$28+Proposition!S$31+Proposition!S$34+Proposition!S$37</f>
        <v>0</v>
      </c>
      <c r="AC9" s="85">
        <f>Proposition!S$24+Proposition!S$29+Proposition!S$31</f>
        <v>-1</v>
      </c>
      <c r="AD9" s="85">
        <f>Proposition!S$27+Proposition!S$28+Proposition!S$31+Proposition!S$33+Proposition!S$41</f>
        <v>-4</v>
      </c>
      <c r="AE9" s="85">
        <f>Proposition!S$26+Proposition!S$31</f>
        <v>-3</v>
      </c>
      <c r="AF9" s="85"/>
      <c r="AG9" s="85">
        <f>Proposition!S$27+Proposition!S$29+Proposition!S$31+Proposition!S$35</f>
        <v>-6</v>
      </c>
      <c r="AH9" s="85">
        <f>Proposition!S$27+Proposition!S$29+Proposition!S$31+Proposition!S$35</f>
        <v>-6</v>
      </c>
      <c r="AI9" s="85">
        <f>Proposition!S$24+Proposition!S$29+Proposition!S$31</f>
        <v>-1</v>
      </c>
      <c r="AJ9" s="99">
        <f>SUM(Z9-MIN(Z9:AI9),AA9-MIN(Z9:AI9),AB9-MIN(Z9:AI9),AC9-MIN(Z9:AI9),AD9-MIN(Z9:AI9),AE9-MIN(Z9:AI9),AG9-MIN(Z9:AI9),AH9-MIN(Z9:AI9),AI9-MIN(Z9:AI9))+((L9*SUM(Z9-MIN(Z9:AI9),AA9-MIN(Z9:AI9),AB9-MIN(Z9:AI9),AC9-MIN(Z9:AI9),AD9-MIN(Z9:AI9),AE9-MIN(Z9:AI9),AG9-MIN(Z9:AI9),AH9-MIN(Z9:AI9),AI9-MIN(Z9:AI9)))/(1-L9))</f>
        <v>23.711340206185568</v>
      </c>
    </row>
    <row r="10" spans="1:36" x14ac:dyDescent="0.25">
      <c r="A10" s="130"/>
      <c r="B10" t="s">
        <v>71</v>
      </c>
      <c r="D10" s="45" t="s">
        <v>72</v>
      </c>
      <c r="E10" s="153">
        <v>411160</v>
      </c>
      <c r="F10" s="120">
        <f t="shared" si="1"/>
        <v>1.1458284012447159E-2</v>
      </c>
      <c r="G10" s="13">
        <f t="shared" ca="1" si="2"/>
        <v>13.522345898653366</v>
      </c>
      <c r="H10" s="20">
        <f>E10+T$4*E$4+T$5*E$5+T$6*E$6+T$7*E$7+T$8*E$8+T$9*E$9+T$3*E$3+T$11*E$11+E$12*T$12</f>
        <v>2336296.0415517739</v>
      </c>
      <c r="I10" s="67">
        <f ca="1">T$21*E$4+T$22*E$5+T$23*E$6+T$24*E$7+T$25*E$8+T$26*E$9+T$20*E$3+T$28*E$11+E$12*T$29+B15*T$30+B17*T$31</f>
        <v>4428276.5325889681</v>
      </c>
      <c r="J10" s="87">
        <f t="shared" si="3"/>
        <v>0.99999999999999989</v>
      </c>
      <c r="K10" s="45" t="s">
        <v>72</v>
      </c>
      <c r="L10" s="4">
        <v>0.02</v>
      </c>
      <c r="M10" s="83">
        <f t="shared" si="4"/>
        <v>0.1225</v>
      </c>
      <c r="N10" s="83">
        <f t="shared" si="13"/>
        <v>0</v>
      </c>
      <c r="O10" s="4">
        <f t="shared" si="5"/>
        <v>3.0624999999999999E-2</v>
      </c>
      <c r="P10" s="4">
        <f t="shared" si="6"/>
        <v>0.21437499999999998</v>
      </c>
      <c r="Q10" s="4">
        <f t="shared" si="7"/>
        <v>0</v>
      </c>
      <c r="R10" s="4">
        <f t="shared" si="8"/>
        <v>0.21437499999999998</v>
      </c>
      <c r="S10" s="4">
        <f t="shared" si="9"/>
        <v>0</v>
      </c>
      <c r="T10" s="71"/>
      <c r="U10" s="4">
        <f t="shared" si="11"/>
        <v>0.245</v>
      </c>
      <c r="V10" s="4">
        <f t="shared" si="12"/>
        <v>0.15312499999999998</v>
      </c>
      <c r="W10" s="75"/>
      <c r="X10" s="99" t="s">
        <v>72</v>
      </c>
      <c r="Y10" s="99"/>
      <c r="Z10" s="112">
        <f>Proposition!S$27+Proposition!S$28+Proposition!S$31</f>
        <v>-1</v>
      </c>
      <c r="AA10" s="112">
        <f>Proposition!S$27+Proposition!S$29+Proposition!S$31+Proposition!S$39+Proposition!S$42</f>
        <v>-5</v>
      </c>
      <c r="AB10" s="85">
        <f>Proposition!S$24+Proposition!S$29+Proposition!S$31+Proposition!S$36+Proposition!S$37</f>
        <v>-4</v>
      </c>
      <c r="AC10" s="85">
        <f>Proposition!S$24+Proposition!S$28+Proposition!S$31</f>
        <v>2</v>
      </c>
      <c r="AD10" s="85">
        <f>Proposition!S$27+Proposition!S$29+Proposition!S$31+Proposition!S$41</f>
        <v>-5</v>
      </c>
      <c r="AE10" s="85">
        <f>Proposition!S$24+Proposition!S$28+Proposition!S$31</f>
        <v>2</v>
      </c>
      <c r="AF10" s="85">
        <f>Proposition!S$27+Proposition!S$29+Proposition!S$31+Proposition!S$41</f>
        <v>-5</v>
      </c>
      <c r="AG10" s="85"/>
      <c r="AH10" s="85">
        <f>Proposition!S$24+Proposition!S$25+Proposition!S$28+Proposition!S$30+Proposition!S$36</f>
        <v>3</v>
      </c>
      <c r="AI10" s="85">
        <f>Proposition!S$24+Proposition!S$26+Proposition!S$28+Proposition!S$31</f>
        <v>0</v>
      </c>
      <c r="AJ10" s="99">
        <f>SUM(Z10-MIN(Z10:AI10),AA10-MIN(Z10:AI10),AB10-MIN(Z10:AI10),AC10-MIN(Z10:AI10),AD10-MIN(Z10:AI10),AE10-MIN(Z10:AI10),AF10-MIN(Z10:AI10),AH10-MIN(Z10:AI10),AI10-MIN(Z10:AI10))+((L10*SUM(Z10-MIN(Z10:AI10),AA10-MIN(Z10:AI10),AB10-MIN(Z10:AI10),AC10-MIN(Z10:AI10),AD10-MIN(Z10:AI10),AE10-MIN(Z10:AI10),AF10-MIN(Z10:AI10),AH10-MIN(Z10:AI10),AI10-MIN(Z10:AI10)))/(1-L10))</f>
        <v>32.653061224489797</v>
      </c>
    </row>
    <row r="11" spans="1:36" x14ac:dyDescent="0.25">
      <c r="A11" s="130"/>
      <c r="B11" t="s">
        <v>75</v>
      </c>
      <c r="D11" s="45" t="s">
        <v>76</v>
      </c>
      <c r="E11" s="153">
        <v>202548</v>
      </c>
      <c r="F11" s="120">
        <f t="shared" si="1"/>
        <v>5.6446456614289986E-3</v>
      </c>
      <c r="G11" s="13">
        <f t="shared" ca="1" si="2"/>
        <v>3.21494628837327</v>
      </c>
      <c r="H11" s="20">
        <f>E11+U$4*E$4+U$5*E$5+U$6*E$6+U$7*E$7+U$8*E$8+U$9*E$9+U$10*E$10+U$3*E$3+E$12*U$12</f>
        <v>1574234.3589415846</v>
      </c>
      <c r="I11" s="67">
        <f ca="1">U$21*E$4+U$22*E$5+U$23*E$6+U$24*E$7+U$25*E$8+U$26*E$9+U$27*E$10+U$20*E$3+E$12*U$29+B15*U$30+B17*U$31</f>
        <v>5637328.7854691595</v>
      </c>
      <c r="J11" s="87">
        <f t="shared" si="3"/>
        <v>0.99999999999999989</v>
      </c>
      <c r="K11" s="45" t="s">
        <v>76</v>
      </c>
      <c r="L11" s="4">
        <v>0.01</v>
      </c>
      <c r="M11" s="83">
        <f t="shared" si="4"/>
        <v>0.14399999999999999</v>
      </c>
      <c r="N11" s="83">
        <f t="shared" si="13"/>
        <v>3.5999999999999997E-2</v>
      </c>
      <c r="O11" s="4">
        <f t="shared" si="5"/>
        <v>0</v>
      </c>
      <c r="P11" s="4">
        <f t="shared" si="6"/>
        <v>0.14399999999999999</v>
      </c>
      <c r="Q11" s="4">
        <f t="shared" si="7"/>
        <v>7.1999999999999995E-2</v>
      </c>
      <c r="R11" s="4">
        <f t="shared" si="8"/>
        <v>0.19799999999999998</v>
      </c>
      <c r="S11" s="4">
        <f t="shared" si="9"/>
        <v>7.1999999999999995E-2</v>
      </c>
      <c r="T11" s="4">
        <f t="shared" si="10"/>
        <v>0.18</v>
      </c>
      <c r="U11" s="71"/>
      <c r="V11" s="4">
        <f t="shared" si="12"/>
        <v>0.14399999999999999</v>
      </c>
      <c r="W11" s="75"/>
      <c r="X11" s="99" t="s">
        <v>76</v>
      </c>
      <c r="Y11" s="99"/>
      <c r="Z11" s="112">
        <f>Proposition!S$27+Proposition!S$28+Proposition!S$31</f>
        <v>-1</v>
      </c>
      <c r="AA11" s="112">
        <f>Proposition!S$27+Proposition!S$29+Proposition!S$31+Proposition!S$33+Proposition!S$39+Proposition!S$42</f>
        <v>-7</v>
      </c>
      <c r="AB11" s="85">
        <f>Proposition!S$27+Proposition!S$29+Proposition!S$31+Proposition!S$33+Proposition!S$36+Proposition!S$37</f>
        <v>-9</v>
      </c>
      <c r="AC11" s="85">
        <f>Proposition!S$27+Proposition!S$28+Proposition!S$31</f>
        <v>-1</v>
      </c>
      <c r="AD11" s="85">
        <f>Proposition!S$27+Proposition!S$29+Proposition!S$31+Proposition!S$41</f>
        <v>-5</v>
      </c>
      <c r="AE11" s="85">
        <f>Proposition!S$24+Proposition!S$28+Proposition!S$31</f>
        <v>2</v>
      </c>
      <c r="AF11" s="85">
        <f>Proposition!S$27+Proposition!S$29+Proposition!S$31+Proposition!S$41</f>
        <v>-5</v>
      </c>
      <c r="AG11" s="85">
        <f>Proposition!S$24+Proposition!S$25+Proposition!S$28+Proposition!S$29+Proposition!S$30+Proposition!S$36</f>
        <v>1</v>
      </c>
      <c r="AH11" s="85"/>
      <c r="AI11" s="85">
        <f>Proposition!S$27+Proposition!S$28+Proposition!S$31</f>
        <v>-1</v>
      </c>
      <c r="AJ11" s="99">
        <f>SUM(Z11-MIN(Z11:AI11),AA11-MIN(Z11:AI11),AB11-MIN(Z11:AI11),AC11-MIN(Z11:AI11),AD11-MIN(Z11:AI11),AE11-MIN(Z11:AI11),AF11-MIN(Z11:AI11),AG11-MIN(Z11:AI11),AI11-MIN(Z11:AI11))+((L11*SUM(Z11-MIN(Z11:AI11),AA11-MIN(Z11:AI11),AB11-MIN(Z11:AI11),AC11-MIN(Z11:AI11),AD11-MIN(Z11:AI11),AE11-MIN(Z11:AI11),AF11-MIN(Z11:AI11),AG11-MIN(Z11:AI11),AI11-MIN(Z11:AI11)))/(1-L11))</f>
        <v>55.555555555555557</v>
      </c>
    </row>
    <row r="12" spans="1:36" ht="15.75" thickBot="1" x14ac:dyDescent="0.3">
      <c r="A12" s="130"/>
      <c r="B12" t="s">
        <v>77</v>
      </c>
      <c r="D12" s="45" t="s">
        <v>78</v>
      </c>
      <c r="E12" s="153">
        <v>89545</v>
      </c>
      <c r="F12" s="120">
        <f t="shared" si="1"/>
        <v>2.4954568583874424E-3</v>
      </c>
      <c r="G12" s="14">
        <f t="shared" ca="1" si="2"/>
        <v>18.989395331826493</v>
      </c>
      <c r="H12" s="20">
        <f>E12+V$4*E$4+V$5*E$5+V$6*E$6+V$7*E$7+V$8*E$8+V$9*E$9+V$10*E$10+V$11*E$11+E$3*V$3</f>
        <v>2497136.3482499514</v>
      </c>
      <c r="I12" s="67">
        <f ca="1">V$21*E$4+V$22*E$5+V$23*E$6+V$24*E$7+V$25*E$8+V$26*E$9+V$27*E$10+V$28*E$11+E$3*V$20+B15*V$30+B17*V$31</f>
        <v>2691885.6678028586</v>
      </c>
      <c r="J12" s="87">
        <f t="shared" si="3"/>
        <v>1</v>
      </c>
      <c r="K12" s="45" t="s">
        <v>78</v>
      </c>
      <c r="L12" s="4">
        <v>0.01</v>
      </c>
      <c r="M12" s="83">
        <f t="shared" si="4"/>
        <v>0.14142857142857143</v>
      </c>
      <c r="N12" s="83">
        <f t="shared" si="13"/>
        <v>0</v>
      </c>
      <c r="O12" s="4">
        <f t="shared" si="5"/>
        <v>0</v>
      </c>
      <c r="P12" s="4">
        <f t="shared" si="6"/>
        <v>0.21214285714285713</v>
      </c>
      <c r="Q12" s="4">
        <f t="shared" si="7"/>
        <v>0</v>
      </c>
      <c r="R12" s="4">
        <f t="shared" si="8"/>
        <v>0.14142857142857143</v>
      </c>
      <c r="S12" s="4">
        <f t="shared" si="9"/>
        <v>0.17678571428571427</v>
      </c>
      <c r="T12" s="4">
        <f t="shared" si="10"/>
        <v>0.14142857142857143</v>
      </c>
      <c r="U12" s="4">
        <f t="shared" si="11"/>
        <v>0.17678571428571427</v>
      </c>
      <c r="V12" s="71"/>
      <c r="W12" s="75"/>
      <c r="X12" s="99" t="s">
        <v>78</v>
      </c>
      <c r="Y12" s="99"/>
      <c r="Z12" s="112">
        <f>Proposition!S$27+Proposition!S$28+Proposition!S$31+Proposition!S$33</f>
        <v>-3</v>
      </c>
      <c r="AA12" s="112">
        <f>Proposition!S$27+Proposition!S$29+Proposition!S$31+Proposition!S$33+Proposition!S$39+Proposition!S$42</f>
        <v>-7</v>
      </c>
      <c r="AB12" s="85">
        <f>Proposition!S$27+Proposition!S$29+Proposition!S$31+Proposition!S$35+Proposition!S$37</f>
        <v>-7</v>
      </c>
      <c r="AC12" s="85">
        <f>Proposition!S$27+Proposition!S$28+Proposition!S$31</f>
        <v>-1</v>
      </c>
      <c r="AD12" s="85">
        <f>Proposition!S$27+Proposition!S$29+Proposition!S$31+Proposition!S$33+Proposition!S$41</f>
        <v>-7</v>
      </c>
      <c r="AE12" s="85">
        <f>Proposition!S$27+Proposition!S$28+Proposition!S$29+Proposition!S$31</f>
        <v>-3</v>
      </c>
      <c r="AF12" s="85">
        <f>Proposition!S$24+Proposition!S$29+Proposition!S$31+Proposition!S$41</f>
        <v>-2</v>
      </c>
      <c r="AG12" s="85">
        <f>Proposition!S$24+Proposition!S$26+Proposition!S$28+Proposition!S$29+Proposition!S$31+Proposition!S$34</f>
        <v>-3</v>
      </c>
      <c r="AH12" s="85">
        <f>Proposition!S$27+Proposition!S$28+Proposition!S$31+Proposition!S$34</f>
        <v>-2</v>
      </c>
      <c r="AI12" s="85"/>
      <c r="AJ12" s="99">
        <f>SUM(Z12-MIN(Z12:AI12),AA12-MIN(Z12:AI12),AB12-MIN(Z12:AI12),AC12-MIN(Z12:AI12),AD12-MIN(Z12:AI12),AE12-MIN(Z12:AI12),AF12-MIN(Z12:AI12),AG12-MIN(Z12:AI12),AH12-MIN(Z12:AI12))+((L12*SUM(Z12-MIN(Z12:AI12),AA12-MIN(Z12:AI12),AB12-MIN(Z12:AI12),AC12-MIN(Z12:AI12),AD12-MIN(Z12:AI12),AE12-MIN(Z12:AI12),AF12-MIN(Z12:AI12),AG12-MIN(Z12:AI12),AH12-MIN(Z12:AI12)))/(1-L12))</f>
        <v>28.282828282828284</v>
      </c>
    </row>
    <row r="13" spans="1:36" x14ac:dyDescent="0.25">
      <c r="H13" s="20"/>
      <c r="I13" s="67"/>
      <c r="J13" s="87"/>
      <c r="L13" s="4"/>
      <c r="M13" s="83"/>
      <c r="N13" s="83"/>
      <c r="O13" s="4"/>
      <c r="P13" s="4"/>
      <c r="Q13" s="4"/>
      <c r="R13" s="4"/>
      <c r="S13" s="4"/>
      <c r="T13" s="4"/>
      <c r="U13" s="4"/>
      <c r="V13" s="4"/>
      <c r="W13" s="75"/>
      <c r="X13" s="99"/>
      <c r="Y13" s="116"/>
      <c r="Z13" s="121"/>
      <c r="AA13" s="121"/>
      <c r="AB13" s="116"/>
      <c r="AC13" s="116"/>
      <c r="AD13" s="116"/>
      <c r="AE13" s="116"/>
      <c r="AF13" s="116"/>
      <c r="AG13" s="116"/>
      <c r="AH13" s="116"/>
      <c r="AI13" s="116"/>
      <c r="AJ13" s="99"/>
    </row>
    <row r="14" spans="1:36" x14ac:dyDescent="0.25">
      <c r="A14" s="1" t="s">
        <v>79</v>
      </c>
      <c r="B14" s="152">
        <v>35883209</v>
      </c>
      <c r="H14" s="20"/>
      <c r="I14" s="67"/>
      <c r="J14" s="87"/>
      <c r="K14" t="s">
        <v>136</v>
      </c>
      <c r="L14" s="4"/>
      <c r="M14" s="83">
        <f>AVERAGE(M5:M12)</f>
        <v>9.3338439849624061E-2</v>
      </c>
      <c r="N14" s="83">
        <f>AVERAGE(N5:N12)</f>
        <v>6.0272788605697146E-2</v>
      </c>
      <c r="O14" s="4"/>
      <c r="P14" s="4"/>
      <c r="Q14" s="4"/>
      <c r="R14" s="4"/>
      <c r="S14" s="4"/>
      <c r="T14" s="4"/>
      <c r="U14" s="4"/>
      <c r="V14" s="4"/>
      <c r="W14" s="75"/>
      <c r="X14" s="99"/>
      <c r="Y14" s="116"/>
      <c r="Z14" s="121"/>
      <c r="AA14" s="121"/>
      <c r="AB14" s="116"/>
      <c r="AC14" s="116"/>
      <c r="AD14" s="116"/>
      <c r="AE14" s="116"/>
      <c r="AF14" s="116"/>
      <c r="AG14" s="116"/>
      <c r="AH14" s="116"/>
      <c r="AI14" s="116"/>
      <c r="AJ14" s="99"/>
    </row>
    <row r="15" spans="1:36" x14ac:dyDescent="0.25">
      <c r="A15" t="s">
        <v>91</v>
      </c>
      <c r="B15" s="25">
        <v>701190</v>
      </c>
      <c r="H15" s="20"/>
      <c r="I15" s="67"/>
      <c r="J15" s="87"/>
      <c r="L15" s="4"/>
      <c r="M15" s="84" t="s">
        <v>155</v>
      </c>
      <c r="N15" s="84" t="s">
        <v>156</v>
      </c>
      <c r="O15" s="4"/>
      <c r="P15" s="4"/>
      <c r="Q15" s="4"/>
      <c r="R15" s="4"/>
      <c r="S15" s="4"/>
      <c r="T15" s="4"/>
      <c r="U15" s="4"/>
      <c r="V15" s="4"/>
      <c r="W15" s="75"/>
      <c r="X15" s="99"/>
      <c r="Y15" s="116"/>
      <c r="Z15" s="121"/>
      <c r="AA15" s="121"/>
      <c r="AB15" s="116"/>
      <c r="AC15" s="116"/>
      <c r="AD15" s="116"/>
      <c r="AE15" s="116"/>
      <c r="AF15" s="116"/>
      <c r="AG15" s="116"/>
      <c r="AH15" s="116"/>
      <c r="AI15" s="116"/>
      <c r="AJ15" s="99"/>
    </row>
    <row r="16" spans="1:36" x14ac:dyDescent="0.25">
      <c r="A16" s="1" t="s">
        <v>82</v>
      </c>
      <c r="B16" s="152">
        <v>36584399</v>
      </c>
      <c r="H16" s="20"/>
      <c r="I16" s="67"/>
      <c r="J16" s="87"/>
      <c r="L16" s="4"/>
      <c r="M16" s="4"/>
      <c r="N16" s="4"/>
      <c r="O16" s="4"/>
      <c r="P16" s="4"/>
      <c r="Q16" s="4"/>
      <c r="R16" s="4"/>
      <c r="S16" s="4"/>
      <c r="T16" s="4"/>
      <c r="U16" s="4"/>
      <c r="V16" s="4"/>
      <c r="W16" s="75"/>
      <c r="X16" s="99"/>
      <c r="Y16" s="116"/>
      <c r="Z16" s="116"/>
      <c r="AA16" s="116"/>
      <c r="AB16" s="116"/>
      <c r="AC16" s="116"/>
      <c r="AD16" s="116"/>
      <c r="AE16" s="116"/>
      <c r="AF16" s="116"/>
      <c r="AG16" s="116"/>
      <c r="AH16" s="116"/>
      <c r="AI16" s="116"/>
      <c r="AJ16" s="99"/>
    </row>
    <row r="17" spans="1:36" x14ac:dyDescent="0.25">
      <c r="A17" t="s">
        <v>15</v>
      </c>
      <c r="B17" s="25">
        <v>9444143</v>
      </c>
      <c r="H17" s="20"/>
      <c r="I17" s="67"/>
      <c r="J17" s="87"/>
      <c r="L17" s="4"/>
      <c r="M17" s="4"/>
      <c r="N17" s="4"/>
      <c r="O17" s="4"/>
      <c r="P17" s="4"/>
      <c r="Q17" s="4"/>
      <c r="R17" s="4"/>
      <c r="S17" s="4"/>
      <c r="T17" s="4"/>
      <c r="U17" s="4"/>
      <c r="V17" s="4"/>
      <c r="W17" s="75"/>
      <c r="X17" s="99"/>
      <c r="Y17" s="116"/>
      <c r="Z17" s="116"/>
      <c r="AA17" s="116"/>
      <c r="AB17" s="116"/>
      <c r="AC17" s="116"/>
      <c r="AD17" s="116"/>
      <c r="AE17" s="116"/>
      <c r="AF17" s="116"/>
      <c r="AG17" s="116"/>
      <c r="AH17" s="116"/>
      <c r="AI17" s="116"/>
      <c r="AJ17" s="99"/>
    </row>
    <row r="18" spans="1:36" x14ac:dyDescent="0.25">
      <c r="A18" s="1" t="s">
        <v>83</v>
      </c>
      <c r="B18" s="152">
        <v>46028542</v>
      </c>
      <c r="H18" s="20"/>
      <c r="I18" s="67"/>
      <c r="J18" s="87"/>
      <c r="L18" s="4"/>
      <c r="M18" s="4"/>
      <c r="N18" s="4"/>
      <c r="O18" s="4"/>
      <c r="P18" s="4"/>
      <c r="Q18" s="4"/>
      <c r="R18" s="4"/>
      <c r="S18" s="4"/>
      <c r="T18" s="4"/>
      <c r="U18" s="4"/>
      <c r="V18" s="4"/>
      <c r="W18" s="75"/>
      <c r="X18" s="99"/>
      <c r="Y18" s="116"/>
      <c r="Z18" s="116"/>
      <c r="AA18" s="116"/>
      <c r="AB18" s="116"/>
      <c r="AC18" s="116"/>
      <c r="AD18" s="116"/>
      <c r="AE18" s="116"/>
      <c r="AF18" s="116"/>
      <c r="AG18" s="116"/>
      <c r="AH18" s="116"/>
      <c r="AI18" s="116"/>
      <c r="AJ18" s="99"/>
    </row>
    <row r="19" spans="1:36" x14ac:dyDescent="0.25">
      <c r="J19" s="87"/>
      <c r="L19" s="69"/>
      <c r="M19" s="45"/>
      <c r="N19" s="46"/>
      <c r="O19" s="47"/>
      <c r="P19" s="45"/>
      <c r="Q19" s="46"/>
      <c r="R19" s="64"/>
      <c r="S19" s="46"/>
      <c r="T19" s="45"/>
      <c r="U19" s="45"/>
      <c r="V19" s="45"/>
      <c r="X19" s="99"/>
      <c r="Y19" s="99"/>
      <c r="Z19" s="99"/>
      <c r="AA19" s="99"/>
      <c r="AB19" s="99"/>
      <c r="AC19" s="99"/>
      <c r="AD19" s="99"/>
      <c r="AE19" s="99"/>
      <c r="AF19" s="99"/>
      <c r="AG19" s="99"/>
      <c r="AH19" s="99"/>
      <c r="AI19" s="99"/>
      <c r="AJ19" s="99"/>
    </row>
    <row r="20" spans="1:36" x14ac:dyDescent="0.25">
      <c r="J20" s="87">
        <f t="shared" ca="1" si="3"/>
        <v>1</v>
      </c>
      <c r="K20" s="45" t="s">
        <v>66</v>
      </c>
      <c r="L20" s="4">
        <f ca="1">RANDBETWEEN(5,10)/100</f>
        <v>0.1</v>
      </c>
      <c r="M20" s="70"/>
      <c r="N20" s="4">
        <f t="shared" ref="N20:V20" ca="1" si="14">(AA20-MIN($Z20:$AI20))/$AJ20</f>
        <v>0.17307692307692307</v>
      </c>
      <c r="O20" s="4">
        <f t="shared" ca="1" si="14"/>
        <v>0.27692307692307694</v>
      </c>
      <c r="P20" s="4">
        <f t="shared" ca="1" si="14"/>
        <v>3.4615384615384617E-2</v>
      </c>
      <c r="Q20" s="4">
        <f t="shared" ca="1" si="14"/>
        <v>0.10384615384615384</v>
      </c>
      <c r="R20" s="4">
        <f t="shared" ca="1" si="14"/>
        <v>0</v>
      </c>
      <c r="S20" s="4">
        <f t="shared" ca="1" si="14"/>
        <v>0.17307692307692307</v>
      </c>
      <c r="T20" s="4">
        <f t="shared" ca="1" si="14"/>
        <v>6.9230769230769235E-2</v>
      </c>
      <c r="U20" s="4">
        <f t="shared" ca="1" si="14"/>
        <v>6.9230769230769235E-2</v>
      </c>
      <c r="V20" s="4">
        <f t="shared" ca="1" si="14"/>
        <v>0</v>
      </c>
      <c r="W20" s="75"/>
      <c r="X20" s="99" t="s">
        <v>66</v>
      </c>
      <c r="Y20" s="116"/>
      <c r="Z20" s="85"/>
      <c r="AA20" s="85">
        <f>Proposition!T$24+Proposition!T$25+Proposition!T$29+Proposition!T$31+Proposition!T$38+Proposition!T$39+Proposition!T$42</f>
        <v>7</v>
      </c>
      <c r="AB20" s="85">
        <f>Proposition!T$27+Proposition!T$29+Proposition!T$31+Proposition!T$35+Proposition!T$37+Proposition!T$38</f>
        <v>10</v>
      </c>
      <c r="AC20" s="85">
        <f>Proposition!T$27+Proposition!T$28+Proposition!T$31+Proposition!T$38</f>
        <v>3</v>
      </c>
      <c r="AD20" s="85">
        <f>Proposition!T$25+Proposition!T$29+Proposition!T$31+Proposition!T$41</f>
        <v>5</v>
      </c>
      <c r="AE20" s="85">
        <f>Proposition!T$27+Proposition!T$28+Proposition!T$31</f>
        <v>2</v>
      </c>
      <c r="AF20" s="85">
        <f>Proposition!T$27+Proposition!T$29+Proposition!T$31+Proposition!T$41</f>
        <v>7</v>
      </c>
      <c r="AG20" s="85">
        <f>Proposition!T$27+Proposition!T$28+Proposition!T$31+Proposition!T$34</f>
        <v>4</v>
      </c>
      <c r="AH20" s="85">
        <f>Proposition!T$27+Proposition!T$28+Proposition!T$31+Proposition!T$34</f>
        <v>4</v>
      </c>
      <c r="AI20" s="85">
        <f>Proposition!T$27+Proposition!T$28+Proposition!T$31</f>
        <v>2</v>
      </c>
      <c r="AJ20" s="99">
        <f ca="1">SUM(AA20-MIN(Z20:AI20),AB20-MIN(Z20:AI20),AC20-MIN(Z20:AI20),AD20-MIN(Z20:AI20),AE20-MIN(Z20:AI20),AF20-MIN(Z20:AI20),AG20-MIN(Z20:AI20),AH20-MIN(Z20:AI20),AI20-MIN(Z20:AI20))+((L20*SUM(AA20-MIN(Z20:AI20),AB20-MIN(Z20:AI20),AC20-MIN(Z20:AI20),AD20-MIN(Z20:AI20),AE20-MIN(Z20:AI20),AF20-MIN(Z20:AI20),AG20-MIN(Z20:AI20),AH20-MIN(Z20:AI20),AI20-MIN(Z20:AI20)))/(1-L20))</f>
        <v>28.888888888888889</v>
      </c>
    </row>
    <row r="21" spans="1:36" x14ac:dyDescent="0.25">
      <c r="J21" s="87">
        <f t="shared" ca="1" si="3"/>
        <v>1</v>
      </c>
      <c r="K21" s="46" t="s">
        <v>84</v>
      </c>
      <c r="L21" s="4">
        <f t="shared" ref="L21:L29" ca="1" si="15">RANDBETWEEN(5,10)/100</f>
        <v>0.06</v>
      </c>
      <c r="M21" s="4">
        <f t="shared" ref="M21:M29" ca="1" si="16">(Z21-MIN($Z21:$AI21))/$AJ21</f>
        <v>7.8333333333333338E-2</v>
      </c>
      <c r="N21" s="71"/>
      <c r="O21" s="4">
        <f t="shared" ref="O21:V21" ca="1" si="17">(AB21-MIN($Z21:$AI21))/$AJ21</f>
        <v>7.8333333333333338E-2</v>
      </c>
      <c r="P21" s="4">
        <f t="shared" ca="1" si="17"/>
        <v>0.15666666666666668</v>
      </c>
      <c r="Q21" s="4">
        <f t="shared" ca="1" si="17"/>
        <v>0</v>
      </c>
      <c r="R21" s="4">
        <f t="shared" ca="1" si="17"/>
        <v>3.9166666666666669E-2</v>
      </c>
      <c r="S21" s="4">
        <f t="shared" ca="1" si="17"/>
        <v>7.8333333333333338E-2</v>
      </c>
      <c r="T21" s="4">
        <f t="shared" ca="1" si="17"/>
        <v>0.19583333333333333</v>
      </c>
      <c r="U21" s="4">
        <f t="shared" ca="1" si="17"/>
        <v>0.19583333333333333</v>
      </c>
      <c r="V21" s="4">
        <f t="shared" ca="1" si="17"/>
        <v>0.11750000000000001</v>
      </c>
      <c r="W21" s="75"/>
      <c r="X21" s="99" t="s">
        <v>84</v>
      </c>
      <c r="Y21" s="116"/>
      <c r="Z21" s="85">
        <f>Proposition!T$24+Proposition!T$29+Proposition!T$31+Proposition!T$38</f>
        <v>4</v>
      </c>
      <c r="AA21" s="85"/>
      <c r="AB21" s="85">
        <f>Proposition!T$24+Proposition!T$25+Proposition!T$28+Proposition!T$31+Proposition!T$34+Proposition!T$37+Proposition!T$38</f>
        <v>4</v>
      </c>
      <c r="AC21" s="85">
        <f>Proposition!T$27+Proposition!T$29+Proposition!T$31+Proposition!T$38</f>
        <v>6</v>
      </c>
      <c r="AD21" s="85">
        <f>Proposition!T$25+Proposition!T$28+Proposition!T$31+Proposition!T$41</f>
        <v>2</v>
      </c>
      <c r="AE21" s="85">
        <f>Proposition!T$27+Proposition!T$31</f>
        <v>3</v>
      </c>
      <c r="AF21" s="85">
        <f>Proposition!T$27+Proposition!T$28+Proposition!T$31+Proposition!T$41</f>
        <v>4</v>
      </c>
      <c r="AG21" s="85">
        <f>Proposition!T$27+Proposition!T$29+Proposition!T$31+Proposition!T$35</f>
        <v>7</v>
      </c>
      <c r="AH21" s="85">
        <f>Proposition!T$27+Proposition!T$29+Proposition!T$31+Proposition!T$35</f>
        <v>7</v>
      </c>
      <c r="AI21" s="85">
        <f>Proposition!T$27+Proposition!T$29+Proposition!T$31</f>
        <v>5</v>
      </c>
      <c r="AJ21" s="99">
        <f ca="1">SUM(Z21-MIN(Z21:AI21),AB21-MIN(Z21:AI21),AC21-MIN(Z21:AI21),AD21-MIN(Z21:AI21),AE21-MIN(Z21:AI21),AF21-MIN(Z21:AI21),AG21-MIN(Z21:AI21),AH21-MIN(Z21:AI21),AI21-MIN(Z21:AI21))+((L21*SUM(Z21-MIN(Z21:AI21),AB21-MIN(Z21:AI21),AC21-MIN(Z21:AI21),AD21-MIN(Z21:AI21),AE21-MIN(Z21:AI21),AF21-MIN(Z21:AI21),AG21-MIN(Z21:AI21),AH21-MIN(Z21:AI21),AI21-MIN(Z21:AI21)))/(1-L21))</f>
        <v>25.531914893617021</v>
      </c>
    </row>
    <row r="22" spans="1:36" x14ac:dyDescent="0.25">
      <c r="J22" s="87">
        <f t="shared" ca="1" si="3"/>
        <v>1</v>
      </c>
      <c r="K22" s="47" t="s">
        <v>60</v>
      </c>
      <c r="L22" s="4">
        <f t="shared" ca="1" si="15"/>
        <v>0.06</v>
      </c>
      <c r="M22" s="107">
        <f t="shared" ca="1" si="16"/>
        <v>0.16347826086956521</v>
      </c>
      <c r="N22" s="107">
        <f t="shared" ref="N22:N29" ca="1" si="18">(AA22-MIN($Z22:$AI22))/$AJ22</f>
        <v>0.16347826086956521</v>
      </c>
      <c r="O22" s="71"/>
      <c r="P22" s="4">
        <f t="shared" ref="P22:V22" ca="1" si="19">(AC22-MIN($Z22:$AI22))/$AJ22</f>
        <v>0</v>
      </c>
      <c r="Q22" s="4">
        <f t="shared" ca="1" si="19"/>
        <v>8.1739130434782606E-2</v>
      </c>
      <c r="R22" s="4">
        <f t="shared" ca="1" si="19"/>
        <v>8.1739130434782606E-2</v>
      </c>
      <c r="S22" s="4">
        <f t="shared" ca="1" si="19"/>
        <v>0</v>
      </c>
      <c r="T22" s="4">
        <f t="shared" ca="1" si="19"/>
        <v>0.12260869565217392</v>
      </c>
      <c r="U22" s="4">
        <f t="shared" ca="1" si="19"/>
        <v>0.20434782608695651</v>
      </c>
      <c r="V22" s="4">
        <f t="shared" ca="1" si="19"/>
        <v>0.12260869565217392</v>
      </c>
      <c r="W22" s="75"/>
      <c r="X22" s="99" t="s">
        <v>60</v>
      </c>
      <c r="Y22" s="116"/>
      <c r="Z22" s="112">
        <f>Proposition!T$27+Proposition!T$29+Proposition!T$31+Proposition!T$38</f>
        <v>6</v>
      </c>
      <c r="AA22" s="112">
        <f>Proposition!T$24+Proposition!T$25+Proposition!T$28+Proposition!T$31+Proposition!T$33+Proposition!T$38+Proposition!T$39+Proposition!T$42</f>
        <v>6</v>
      </c>
      <c r="AB22" s="85"/>
      <c r="AC22" s="85">
        <f>Proposition!T$24*2+Proposition!T$25+Proposition!T$29+Proposition!T$31+Proposition!T$38</f>
        <v>2</v>
      </c>
      <c r="AD22" s="85">
        <f>Proposition!T$27+Proposition!T$28+Proposition!T$31+Proposition!T$41</f>
        <v>4</v>
      </c>
      <c r="AE22" s="85">
        <f>Proposition!T$26+Proposition!T$31</f>
        <v>4</v>
      </c>
      <c r="AF22" s="85">
        <f>Proposition!T$24+Proposition!T$28+Proposition!T$31+Proposition!T$41</f>
        <v>2</v>
      </c>
      <c r="AG22" s="85">
        <f>Proposition!T$24+Proposition!T$29+Proposition!T$31+Proposition!T$36</f>
        <v>5</v>
      </c>
      <c r="AH22" s="85">
        <f>Proposition!T$27+Proposition!T$29+Proposition!T$31+Proposition!T$36</f>
        <v>7</v>
      </c>
      <c r="AI22" s="85">
        <f>Proposition!T$27+Proposition!T$29+Proposition!T$31</f>
        <v>5</v>
      </c>
      <c r="AJ22" s="99">
        <f ca="1">SUM(Z22-MIN(Z22:AI22),AA22-MIN(Z22:AI22),AC22-MIN(Z22:AI22),AD22-MIN(Z22:AI22),AE22-MIN(Z22:AI22),AF22-MIN(Z22:AI22),AG22-MIN(Z22:AI22),AH22-MIN(Z22:AI22),AI22-MIN(Z22:AI22))+((L22*SUM(Z22-MIN(Z22:AI22),AA22-MIN(Z22:AI22),AC22-MIN(Z22:AI22),AD22-MIN(Z22:AI22),AE22-MIN(Z22:AI22),AF22-MIN(Z22:AI22),AG22-MIN(Z22:AI22),AH22-MIN(Z22:AI22),AI22-MIN(Z22:AI22)))/(1-L22))</f>
        <v>24.468085106382979</v>
      </c>
    </row>
    <row r="23" spans="1:36" x14ac:dyDescent="0.25">
      <c r="J23" s="87">
        <f t="shared" ca="1" si="3"/>
        <v>0.99999999999999978</v>
      </c>
      <c r="K23" s="45" t="s">
        <v>85</v>
      </c>
      <c r="L23" s="4">
        <f t="shared" ca="1" si="15"/>
        <v>0.09</v>
      </c>
      <c r="M23" s="107">
        <f t="shared" ca="1" si="16"/>
        <v>3.6399999999999995E-2</v>
      </c>
      <c r="N23" s="107">
        <f t="shared" ca="1" si="18"/>
        <v>0.36399999999999999</v>
      </c>
      <c r="O23" s="4">
        <f t="shared" ref="O23:O29" ca="1" si="20">(AB23-MIN($Z23:$AI23))/$AJ23</f>
        <v>0.14559999999999998</v>
      </c>
      <c r="P23" s="71"/>
      <c r="Q23" s="4">
        <f t="shared" ref="Q23:V23" ca="1" si="21">(AD23-MIN($Z23:$AI23))/$AJ23</f>
        <v>0.182</v>
      </c>
      <c r="R23" s="4">
        <f t="shared" ca="1" si="21"/>
        <v>0</v>
      </c>
      <c r="S23" s="4">
        <f t="shared" ca="1" si="21"/>
        <v>0.10919999999999999</v>
      </c>
      <c r="T23" s="4">
        <f t="shared" ca="1" si="21"/>
        <v>0</v>
      </c>
      <c r="U23" s="4">
        <f t="shared" ca="1" si="21"/>
        <v>7.279999999999999E-2</v>
      </c>
      <c r="V23" s="4">
        <f t="shared" ca="1" si="21"/>
        <v>0</v>
      </c>
      <c r="W23" s="75"/>
      <c r="X23" s="99" t="s">
        <v>85</v>
      </c>
      <c r="Y23" s="116"/>
      <c r="Z23" s="112">
        <f>Proposition!T$27+Proposition!T$28+Proposition!T$31+Proposition!T$38</f>
        <v>3</v>
      </c>
      <c r="AA23" s="112">
        <f>Proposition!T$27+Proposition!T$29+Proposition!T$31+Proposition!T$33+Proposition!T$38+Proposition!T$39+Proposition!T$42</f>
        <v>12</v>
      </c>
      <c r="AB23" s="85">
        <f>Proposition!T$24*2+Proposition!T$25+Proposition!T$29+Proposition!T$31+Proposition!T$35+Proposition!T$37+Proposition!T$38</f>
        <v>6</v>
      </c>
      <c r="AC23" s="85"/>
      <c r="AD23" s="85">
        <f>Proposition!T$27+Proposition!T$29+Proposition!T$31+Proposition!T$41</f>
        <v>7</v>
      </c>
      <c r="AE23" s="85">
        <f>Proposition!T$24+Proposition!T$26+Proposition!T$28+Proposition!T$31</f>
        <v>2</v>
      </c>
      <c r="AF23" s="85">
        <f>Proposition!T$24+Proposition!T$29+Proposition!T$31+Proposition!T$41</f>
        <v>5</v>
      </c>
      <c r="AG23" s="85">
        <f>Proposition!T$24+Proposition!T$28+Proposition!T$31+Proposition!T$34</f>
        <v>2</v>
      </c>
      <c r="AH23" s="85">
        <f>Proposition!T$27+Proposition!T$28+Proposition!T$31+Proposition!T$34</f>
        <v>4</v>
      </c>
      <c r="AI23" s="85">
        <f>Proposition!T$27+Proposition!T$28+Proposition!T$31</f>
        <v>2</v>
      </c>
      <c r="AJ23" s="99">
        <f ca="1">SUM(Z23-MIN(Z23:AI23),AA23-MIN(Z23:AI23),AB23-MIN(Z23:AI23),AD23-MIN(Z23:AI23),AE23-MIN(Z23:AI23),AF23-MIN(Z23:AI23),AG23-MIN(Z23:AI23),AH23-MIN(Z23:AI23),AI23-MIN(Z23:AI23))+((L23*SUM(Z23-MIN(Z23:AI23),AA23-MIN(Z23:AI23),AB23-MIN(Z23:AI23),AD23-MIN(Z23:AI23),AE23-MIN(Z23:AI23),AF23-MIN(Z23:AI23),AG23-MIN(Z23:AI23),AH23-MIN(Z23:AI23),AI23-MIN(Z23:AI23)))/(1-L23))</f>
        <v>27.472527472527474</v>
      </c>
    </row>
    <row r="24" spans="1:36" x14ac:dyDescent="0.25">
      <c r="J24" s="87">
        <f t="shared" ca="1" si="3"/>
        <v>1</v>
      </c>
      <c r="K24" s="46" t="s">
        <v>87</v>
      </c>
      <c r="L24" s="4">
        <f t="shared" ca="1" si="15"/>
        <v>0.08</v>
      </c>
      <c r="M24" s="107">
        <f t="shared" ca="1" si="16"/>
        <v>0</v>
      </c>
      <c r="N24" s="107">
        <f t="shared" ca="1" si="18"/>
        <v>5.4117647058823527E-2</v>
      </c>
      <c r="O24" s="4">
        <f t="shared" ca="1" si="20"/>
        <v>0.16235294117647059</v>
      </c>
      <c r="P24" s="4">
        <f t="shared" ref="P24:P29" ca="1" si="22">(AC24-MIN($Z24:$AI24))/$AJ24</f>
        <v>0.10823529411764705</v>
      </c>
      <c r="Q24" s="71"/>
      <c r="R24" s="4">
        <f ca="1">(AE24-MIN($Z24:$AI24))/$AJ24</f>
        <v>0</v>
      </c>
      <c r="S24" s="4">
        <f ca="1">(AF24-MIN($Z24:$AI24))/$AJ24</f>
        <v>5.4117647058823527E-2</v>
      </c>
      <c r="T24" s="4">
        <f ca="1">(AG24-MIN($Z24:$AI24))/$AJ24</f>
        <v>0.21647058823529411</v>
      </c>
      <c r="U24" s="4">
        <f ca="1">(AH24-MIN($Z24:$AI24))/$AJ24</f>
        <v>0.21647058823529411</v>
      </c>
      <c r="V24" s="4">
        <f ca="1">(AI24-MIN($Z24:$AI24))/$AJ24</f>
        <v>0.10823529411764705</v>
      </c>
      <c r="W24" s="75"/>
      <c r="X24" s="99" t="s">
        <v>87</v>
      </c>
      <c r="Y24" s="116"/>
      <c r="Z24" s="112">
        <f>Proposition!T$25+Proposition!T$29+Proposition!T$31</f>
        <v>3</v>
      </c>
      <c r="AA24" s="112">
        <f>Proposition!T$25+Proposition!T$28+Proposition!T$31+Proposition!T$39+Proposition!T$42</f>
        <v>4</v>
      </c>
      <c r="AB24" s="85">
        <f>Proposition!T$27+Proposition!T$28+Proposition!T$31+Proposition!T$34+Proposition!T$37</f>
        <v>6</v>
      </c>
      <c r="AC24" s="85">
        <f>Proposition!T$27+Proposition!T$29+Proposition!T$31</f>
        <v>5</v>
      </c>
      <c r="AD24" s="85"/>
      <c r="AE24" s="85">
        <f>Proposition!T$27+Proposition!T$31</f>
        <v>3</v>
      </c>
      <c r="AF24" s="85">
        <f>Proposition!T$27+Proposition!T$28+Proposition!T$31+Proposition!T$41</f>
        <v>4</v>
      </c>
      <c r="AG24" s="85">
        <f>Proposition!T$27+Proposition!T$29+Proposition!T$31+Proposition!T$35</f>
        <v>7</v>
      </c>
      <c r="AH24" s="85">
        <f>Proposition!T$27+Proposition!T$29+Proposition!T$31+Proposition!T$35</f>
        <v>7</v>
      </c>
      <c r="AI24" s="85">
        <f>Proposition!T$27+Proposition!T$29+Proposition!T$31</f>
        <v>5</v>
      </c>
      <c r="AJ24" s="99">
        <f ca="1">SUM(Z24-MIN(Z24:AI24),AA24-MIN(Z24:AI24),AB24-MIN(Z24:AI24),AC24-MIN(Z24:AI24),AE24-MIN(Z24:AI24),AF24-MIN(Z24:AI24),AG24-MIN(Z24:AI24),AH24-MIN(Z24:AI24),AI24-MIN(Z24:AI24))+((L24*SUM(Z24-MIN(Z24:AI24),AA24-MIN(Z24:AI24),AB24-MIN(Z24:AI24),AC24-MIN(Z24:AI24),AE24-MIN(Z24:AI24),AF24-MIN(Z24:AI24),AG24-MIN(Z24:AI24),AH24-MIN(Z24:AI24),AI24-MIN(Z24:AI24)))/(1-L24))</f>
        <v>18.478260869565219</v>
      </c>
    </row>
    <row r="25" spans="1:36" x14ac:dyDescent="0.25">
      <c r="J25" s="87">
        <f t="shared" ca="1" si="3"/>
        <v>1</v>
      </c>
      <c r="K25" s="64" t="s">
        <v>89</v>
      </c>
      <c r="L25" s="4">
        <f t="shared" ca="1" si="15"/>
        <v>0.05</v>
      </c>
      <c r="M25" s="107">
        <f t="shared" ca="1" si="16"/>
        <v>7.3076923076923081E-2</v>
      </c>
      <c r="N25" s="107">
        <f t="shared" ca="1" si="18"/>
        <v>0.21923076923076923</v>
      </c>
      <c r="O25" s="4">
        <f t="shared" ca="1" si="20"/>
        <v>0.18269230769230768</v>
      </c>
      <c r="P25" s="4">
        <f t="shared" ca="1" si="22"/>
        <v>7.3076923076923081E-2</v>
      </c>
      <c r="Q25" s="4">
        <f ca="1">(AD25-MIN($Z25:$AI25))/$AJ25</f>
        <v>0.14615384615384616</v>
      </c>
      <c r="R25" s="71"/>
      <c r="S25" s="4">
        <f ca="1">(AF25-MIN($Z25:$AI25))/$AJ25</f>
        <v>0.18269230769230768</v>
      </c>
      <c r="T25" s="4">
        <f ca="1">(AG25-MIN($Z25:$AI25))/$AJ25</f>
        <v>0</v>
      </c>
      <c r="U25" s="4">
        <f ca="1">(AH25-MIN($Z25:$AI25))/$AJ25</f>
        <v>0</v>
      </c>
      <c r="V25" s="4">
        <f ca="1">(AI25-MIN($Z25:$AI25))/$AJ25</f>
        <v>7.3076923076923081E-2</v>
      </c>
      <c r="W25" s="75"/>
      <c r="X25" s="99" t="s">
        <v>89</v>
      </c>
      <c r="Y25" s="116"/>
      <c r="Z25" s="112">
        <f>Proposition!T$27+Proposition!T$31</f>
        <v>3</v>
      </c>
      <c r="AA25" s="112">
        <f>Proposition!T$27+Proposition!T$31+Proposition!T$39+Proposition!T$42</f>
        <v>7</v>
      </c>
      <c r="AB25" s="85">
        <f>Proposition!T$26+Proposition!T$31+Proposition!T$37</f>
        <v>6</v>
      </c>
      <c r="AC25" s="85">
        <f>Proposition!T$24+Proposition!T$26+Proposition!T$31</f>
        <v>3</v>
      </c>
      <c r="AD25" s="85">
        <f>Proposition!T$27+Proposition!T$31+Proposition!T$41</f>
        <v>5</v>
      </c>
      <c r="AE25" s="85"/>
      <c r="AF25" s="85">
        <f>Proposition!T$26+Proposition!T$31+Proposition!T$41</f>
        <v>6</v>
      </c>
      <c r="AG25" s="85">
        <f>Proposition!T$24+Proposition!T$31</f>
        <v>1</v>
      </c>
      <c r="AH25" s="85">
        <f>Proposition!T$24+Proposition!T$31</f>
        <v>1</v>
      </c>
      <c r="AI25" s="85">
        <f>Proposition!T$27+Proposition!T$31</f>
        <v>3</v>
      </c>
      <c r="AJ25" s="99">
        <f ca="1">SUM(Z25-MIN(Z25:AI25),AA25-MIN(Z25:AI25),AB25-MIN(Z25:AI25),AC25-MIN(Z25:AI25),AD25-MIN(Z25:AI25),AF25-MIN(Z25:AI25),AG25-MIN(Z25:AI25),AH25-MIN(Z25:AI25),AI25-MIN(Z25:AI25))+((L25*SUM(Z25-MIN(Z25:AI25),AA25-MIN(Z25:AI25),AB25-MIN(Z25:AI25),AC25-MIN(Z25:AI25),AD25-MIN(Z25:AI25),AF25-MIN(Z25:AI25),AG25-MIN(Z25:AI25),AH25-MIN(Z25:AI25),AI25-MIN(Z25:AI25)))/(1-L25))</f>
        <v>27.368421052631579</v>
      </c>
    </row>
    <row r="26" spans="1:36" x14ac:dyDescent="0.25">
      <c r="J26" s="87">
        <f t="shared" ca="1" si="3"/>
        <v>1</v>
      </c>
      <c r="K26" s="46" t="s">
        <v>90</v>
      </c>
      <c r="L26" s="4">
        <f t="shared" ca="1" si="15"/>
        <v>0.1</v>
      </c>
      <c r="M26" s="107">
        <f t="shared" ca="1" si="16"/>
        <v>0.16363636363636364</v>
      </c>
      <c r="N26" s="107">
        <f t="shared" ca="1" si="18"/>
        <v>0.20454545454545456</v>
      </c>
      <c r="O26" s="4">
        <f t="shared" ca="1" si="20"/>
        <v>4.0909090909090909E-2</v>
      </c>
      <c r="P26" s="4">
        <f t="shared" ca="1" si="22"/>
        <v>0</v>
      </c>
      <c r="Q26" s="4">
        <f ca="1">(AD26-MIN($Z26:$AI26))/$AJ26</f>
        <v>0.12272727272727274</v>
      </c>
      <c r="R26" s="4">
        <f ca="1">(AE26-MIN($Z26:$AI26))/$AJ26</f>
        <v>4.0909090909090909E-2</v>
      </c>
      <c r="S26" s="71"/>
      <c r="T26" s="4">
        <f ca="1">(AG26-MIN($Z26:$AI26))/$AJ26</f>
        <v>0.16363636363636364</v>
      </c>
      <c r="U26" s="4">
        <f ca="1">(AH26-MIN($Z26:$AI26))/$AJ26</f>
        <v>0.16363636363636364</v>
      </c>
      <c r="V26" s="4">
        <f ca="1">(AI26-MIN($Z26:$AI26))/$AJ26</f>
        <v>0</v>
      </c>
      <c r="W26" s="75"/>
      <c r="X26" s="99" t="s">
        <v>90</v>
      </c>
      <c r="Y26" s="116"/>
      <c r="Z26" s="112">
        <f>Proposition!T$27+Proposition!T$29+Proposition!T$31+Proposition!T$33</f>
        <v>7</v>
      </c>
      <c r="AA26" s="112">
        <f>Proposition!T$27+Proposition!T$28+Proposition!T$31+Proposition!T$33+Proposition!T$39+Proposition!T$42</f>
        <v>8</v>
      </c>
      <c r="AB26" s="85">
        <f>Proposition!T$24+Proposition!T$28+Proposition!T$31+Proposition!T$34+Proposition!T$37</f>
        <v>4</v>
      </c>
      <c r="AC26" s="85">
        <f>Proposition!T$24+Proposition!T$29+Proposition!T$31</f>
        <v>3</v>
      </c>
      <c r="AD26" s="85">
        <f>Proposition!T$27+Proposition!T$28+Proposition!T$31+Proposition!T$33+Proposition!T$41</f>
        <v>6</v>
      </c>
      <c r="AE26" s="85">
        <f>Proposition!T$26+Proposition!T$31</f>
        <v>4</v>
      </c>
      <c r="AF26" s="85"/>
      <c r="AG26" s="85">
        <f>Proposition!T$27+Proposition!T$29+Proposition!T$31+Proposition!T$35</f>
        <v>7</v>
      </c>
      <c r="AH26" s="85">
        <f>Proposition!T$27+Proposition!T$29+Proposition!T$31+Proposition!T$35</f>
        <v>7</v>
      </c>
      <c r="AI26" s="85">
        <f>Proposition!T$24+Proposition!T$29+Proposition!T$31</f>
        <v>3</v>
      </c>
      <c r="AJ26" s="99">
        <f ca="1">SUM(Z26-MIN(Z26:AI26),AA26-MIN(Z26:AI26),AB26-MIN(Z26:AI26),AC26-MIN(Z26:AI26),AD26-MIN(Z26:AI26),AE26-MIN(Z26:AI26),AG26-MIN(Z26:AI26),AH26-MIN(Z26:AI26),AI26-MIN(Z26:AI26))+((L26*SUM(Z26-MIN(Z26:AI26),AA26-MIN(Z26:AI26),AB26-MIN(Z26:AI26),AC26-MIN(Z26:AI26),AD26-MIN(Z26:AI26),AE26-MIN(Z26:AI26),AG26-MIN(Z26:AI26),AH26-MIN(Z26:AI26),AI26-MIN(Z26:AI26)))/(1-L26))</f>
        <v>24.444444444444443</v>
      </c>
    </row>
    <row r="27" spans="1:36" x14ac:dyDescent="0.25">
      <c r="J27" s="87">
        <f t="shared" ca="1" si="3"/>
        <v>0.99999999999999989</v>
      </c>
      <c r="K27" s="45" t="s">
        <v>72</v>
      </c>
      <c r="L27" s="4">
        <f t="shared" ca="1" si="15"/>
        <v>0.08</v>
      </c>
      <c r="M27" s="107">
        <f t="shared" ca="1" si="16"/>
        <v>7.3599999999999999E-2</v>
      </c>
      <c r="N27" s="107">
        <f t="shared" ca="1" si="18"/>
        <v>0.2024</v>
      </c>
      <c r="O27" s="4">
        <f t="shared" ca="1" si="20"/>
        <v>0.1656</v>
      </c>
      <c r="P27" s="4">
        <f t="shared" ca="1" si="22"/>
        <v>3.6799999999999999E-2</v>
      </c>
      <c r="Q27" s="4">
        <f ca="1">(AD27-MIN($Z27:$AI27))/$AJ27</f>
        <v>0.1656</v>
      </c>
      <c r="R27" s="4">
        <f ca="1">(AE27-MIN($Z27:$AI27))/$AJ27</f>
        <v>3.6799999999999999E-2</v>
      </c>
      <c r="S27" s="4">
        <f ca="1">(AF27-MIN($Z27:$AI27))/$AJ27</f>
        <v>0.1656</v>
      </c>
      <c r="T27" s="71"/>
      <c r="U27" s="4">
        <f ca="1">(AH27-MIN($Z27:$AI27))/$AJ27</f>
        <v>0</v>
      </c>
      <c r="V27" s="4">
        <f ca="1">(AI27-MIN($Z27:$AI27))/$AJ27</f>
        <v>7.3599999999999999E-2</v>
      </c>
      <c r="W27" s="75"/>
      <c r="X27" s="99" t="s">
        <v>72</v>
      </c>
      <c r="Y27" s="116"/>
      <c r="Z27" s="112">
        <f>Proposition!T$27+Proposition!T$28+Proposition!T$31</f>
        <v>2</v>
      </c>
      <c r="AA27" s="112">
        <f>Proposition!T$27+Proposition!T$29+Proposition!T$31+Proposition!T$39+Proposition!T$42</f>
        <v>9</v>
      </c>
      <c r="AB27" s="85">
        <f>Proposition!T$24+Proposition!T$29+Proposition!T$31+Proposition!T$36+Proposition!T$37</f>
        <v>7</v>
      </c>
      <c r="AC27" s="85">
        <f>Proposition!T$24+Proposition!T$28+Proposition!T$31</f>
        <v>0</v>
      </c>
      <c r="AD27" s="85">
        <f>Proposition!T$27+Proposition!T$29+Proposition!T$31+Proposition!T$41</f>
        <v>7</v>
      </c>
      <c r="AE27" s="85">
        <f>Proposition!T$24+Proposition!T$28+Proposition!T$31</f>
        <v>0</v>
      </c>
      <c r="AF27" s="85">
        <f>Proposition!T$27+Proposition!T$29+Proposition!T$31+Proposition!T$41</f>
        <v>7</v>
      </c>
      <c r="AG27" s="85"/>
      <c r="AH27" s="85">
        <f>Proposition!T$24+Proposition!T$25+Proposition!T$28+Proposition!T$30+Proposition!T$36</f>
        <v>-2</v>
      </c>
      <c r="AI27" s="85">
        <f>Proposition!T$24+Proposition!T$26+Proposition!T$28+Proposition!T$31</f>
        <v>2</v>
      </c>
      <c r="AJ27" s="99">
        <f ca="1">SUM(Z27-MIN(Z27:AI27),AA27-MIN(Z27:AI27),AB27-MIN(Z27:AI27),AC27-MIN(Z27:AI27),AD27-MIN(Z27:AI27),AE27-MIN(Z27:AI27),AF27-MIN(Z27:AI27),AH27-MIN(Z27:AI27),AI27-MIN(Z27:AI27))+((L27*SUM(Z27-MIN(Z27:AI27),AA27-MIN(Z27:AI27),AB27-MIN(Z27:AI27),AC27-MIN(Z27:AI27),AD27-MIN(Z27:AI27),AE27-MIN(Z27:AI27),AF27-MIN(Z27:AI27),AH27-MIN(Z27:AI27),AI27-MIN(Z27:AI27)))/(1-L27))</f>
        <v>54.347826086956523</v>
      </c>
    </row>
    <row r="28" spans="1:36" x14ac:dyDescent="0.25">
      <c r="J28" s="87">
        <f t="shared" ca="1" si="3"/>
        <v>1</v>
      </c>
      <c r="K28" s="45" t="s">
        <v>76</v>
      </c>
      <c r="L28" s="4">
        <f t="shared" ca="1" si="15"/>
        <v>0.08</v>
      </c>
      <c r="M28" s="107">
        <f t="shared" ca="1" si="16"/>
        <v>4.3809523809523812E-2</v>
      </c>
      <c r="N28" s="107">
        <f t="shared" ca="1" si="18"/>
        <v>0.24095238095238097</v>
      </c>
      <c r="O28" s="4">
        <f t="shared" ca="1" si="20"/>
        <v>0.24095238095238097</v>
      </c>
      <c r="P28" s="4">
        <f t="shared" ca="1" si="22"/>
        <v>4.3809523809523812E-2</v>
      </c>
      <c r="Q28" s="4">
        <f ca="1">(AD28-MIN($Z28:$AI28))/$AJ28</f>
        <v>0.15333333333333335</v>
      </c>
      <c r="R28" s="4">
        <f ca="1">(AE28-MIN($Z28:$AI28))/$AJ28</f>
        <v>0</v>
      </c>
      <c r="S28" s="4">
        <f ca="1">(AF28-MIN($Z28:$AI28))/$AJ28</f>
        <v>0.15333333333333335</v>
      </c>
      <c r="T28" s="4">
        <f ca="1">(AG28-MIN($Z28:$AI28))/$AJ28</f>
        <v>0</v>
      </c>
      <c r="U28" s="71"/>
      <c r="V28" s="4">
        <f ca="1">(AI28-MIN($Z28:$AI28))/$AJ28</f>
        <v>4.3809523809523812E-2</v>
      </c>
      <c r="W28" s="75"/>
      <c r="X28" s="99" t="s">
        <v>76</v>
      </c>
      <c r="Y28" s="116"/>
      <c r="Z28" s="112">
        <f>Proposition!T$27+Proposition!T$28+Proposition!T$31</f>
        <v>2</v>
      </c>
      <c r="AA28" s="112">
        <f>Proposition!T$27+Proposition!T$29+Proposition!T$31+Proposition!T$33+Proposition!T$39+Proposition!T$42</f>
        <v>11</v>
      </c>
      <c r="AB28" s="85">
        <f>Proposition!T$27+Proposition!T$29+Proposition!T$31+Proposition!T$33+Proposition!T$36+Proposition!T$37</f>
        <v>11</v>
      </c>
      <c r="AC28" s="85">
        <f>Proposition!T$27+Proposition!T$28+Proposition!T$31</f>
        <v>2</v>
      </c>
      <c r="AD28" s="85">
        <f>Proposition!T$27+Proposition!T$29+Proposition!T$31+Proposition!T$41</f>
        <v>7</v>
      </c>
      <c r="AE28" s="85">
        <f>Proposition!T$24+Proposition!T$28+Proposition!T$31</f>
        <v>0</v>
      </c>
      <c r="AF28" s="85">
        <f>Proposition!T$27+Proposition!T$29+Proposition!T$31+Proposition!T$41</f>
        <v>7</v>
      </c>
      <c r="AG28" s="85">
        <f>Proposition!T$24+Proposition!T$25+Proposition!T$28+Proposition!T$29+Proposition!T$30+Proposition!T$36</f>
        <v>0</v>
      </c>
      <c r="AH28" s="85"/>
      <c r="AI28" s="85">
        <f>Proposition!T$27+Proposition!T$28+Proposition!T$31</f>
        <v>2</v>
      </c>
      <c r="AJ28" s="99">
        <f ca="1">SUM(Z28-MIN(Z28:AI28),AA28-MIN(Z28:AI28),AB28-MIN(Z28:AI28),AC28-MIN(Z28:AI28),AD28-MIN(Z28:AI28),AE28-MIN(Z28:AI28),AF28-MIN(Z28:AI28),AG28-MIN(Z28:AI28),AI28-MIN(Z28:AI28))+((L28*SUM(Z28-MIN(Z28:AI28),AA28-MIN(Z28:AI28),AB28-MIN(Z28:AI28),AC28-MIN(Z28:AI28),AD28-MIN(Z28:AI28),AE28-MIN(Z28:AI28),AF28-MIN(Z28:AI28),AG28-MIN(Z28:AI28),AI28-MIN(Z28:AI28)))/(1-L28))</f>
        <v>45.652173913043477</v>
      </c>
    </row>
    <row r="29" spans="1:36" x14ac:dyDescent="0.25">
      <c r="J29" s="87">
        <f t="shared" ca="1" si="3"/>
        <v>1.0000000000000002</v>
      </c>
      <c r="K29" s="45" t="s">
        <v>78</v>
      </c>
      <c r="L29" s="4">
        <f t="shared" ca="1" si="15"/>
        <v>0.05</v>
      </c>
      <c r="M29" s="107">
        <f t="shared" ca="1" si="16"/>
        <v>5.2777777777777785E-2</v>
      </c>
      <c r="N29" s="107">
        <f t="shared" ca="1" si="18"/>
        <v>0.23750000000000002</v>
      </c>
      <c r="O29" s="4">
        <f t="shared" ca="1" si="20"/>
        <v>0.18472222222222223</v>
      </c>
      <c r="P29" s="4">
        <f t="shared" ca="1" si="22"/>
        <v>0</v>
      </c>
      <c r="Q29" s="4">
        <f ca="1">(AD29-MIN($Z29:$AI29))/$AJ29</f>
        <v>0.18472222222222223</v>
      </c>
      <c r="R29" s="4">
        <f ca="1">(AE29-MIN($Z29:$AI29))/$AJ29</f>
        <v>5.2777777777777785E-2</v>
      </c>
      <c r="S29" s="4">
        <f ca="1">(AF29-MIN($Z29:$AI29))/$AJ29</f>
        <v>7.9166666666666677E-2</v>
      </c>
      <c r="T29" s="4">
        <f ca="1">(AG29-MIN($Z29:$AI29))/$AJ29</f>
        <v>0.10555555555555557</v>
      </c>
      <c r="U29" s="4">
        <f ca="1">(AH29-MIN($Z29:$AI29))/$AJ29</f>
        <v>5.2777777777777785E-2</v>
      </c>
      <c r="V29" s="71"/>
      <c r="W29" s="75"/>
      <c r="X29" s="99" t="s">
        <v>78</v>
      </c>
      <c r="Y29" s="116"/>
      <c r="Z29" s="112">
        <f>Proposition!T$27+Proposition!T$28+Proposition!T$31+Proposition!T$33</f>
        <v>4</v>
      </c>
      <c r="AA29" s="112">
        <f>Proposition!T$27+Proposition!T$29+Proposition!T$31+Proposition!T$33+Proposition!T$39+Proposition!T$42</f>
        <v>11</v>
      </c>
      <c r="AB29" s="85">
        <f>Proposition!T$27+Proposition!T$29+Proposition!T$31+Proposition!T$35+Proposition!T$37</f>
        <v>9</v>
      </c>
      <c r="AC29" s="85">
        <f>Proposition!T$27+Proposition!T$28+Proposition!T$31</f>
        <v>2</v>
      </c>
      <c r="AD29" s="85">
        <f>Proposition!T$27+Proposition!T$29+Proposition!T$31+Proposition!T$33+Proposition!T$41</f>
        <v>9</v>
      </c>
      <c r="AE29" s="85">
        <f>Proposition!T$27+Proposition!T$28+Proposition!T$29+Proposition!T$31</f>
        <v>4</v>
      </c>
      <c r="AF29" s="85">
        <f>Proposition!T$24+Proposition!T$29+Proposition!T$31+Proposition!T$41</f>
        <v>5</v>
      </c>
      <c r="AG29" s="85">
        <f>Proposition!T$24+Proposition!T$26+Proposition!T$28+Proposition!T$29+Proposition!T$31+Proposition!T$34</f>
        <v>6</v>
      </c>
      <c r="AH29" s="85">
        <f>Proposition!T$27+Proposition!T$28+Proposition!T$31+Proposition!T$34</f>
        <v>4</v>
      </c>
      <c r="AI29" s="85"/>
      <c r="AJ29" s="99">
        <f ca="1">SUM(Z29-MIN(Z29:AI29),AA29-MIN(Z29:AI29),AB29-MIN(Z29:AI29),AC29-MIN(Z29:AI29),AD29-MIN(Z29:AI29),AE29-MIN(Z29:AI29),AF29-MIN(Z29:AI29),AG29-MIN(Z29:AI29),AH29-MIN(Z29:AI29))+((L29*SUM(Z29-MIN(Z29:AI29),AA29-MIN(Z29:AI29),AB29-MIN(Z29:AI29),AC29-MIN(Z29:AI29),AD29-MIN(Z29:AI29),AE29-MIN(Z29:AI29),AF29-MIN(Z29:AI29),AG29-MIN(Z29:AI29),AH29-MIN(Z29:AI29)))/(1-L29))</f>
        <v>37.89473684210526</v>
      </c>
    </row>
    <row r="30" spans="1:36" x14ac:dyDescent="0.25">
      <c r="J30" s="87">
        <f t="shared" ca="1" si="3"/>
        <v>0.25</v>
      </c>
      <c r="K30" s="74" t="s">
        <v>134</v>
      </c>
      <c r="L30" s="4"/>
      <c r="M30" s="4">
        <f ca="1">RANDBETWEEN(1,3)/100</f>
        <v>0.01</v>
      </c>
      <c r="N30" s="4">
        <f t="shared" ref="N30:V31" ca="1" si="23">RANDBETWEEN(1,3)/100</f>
        <v>0.01</v>
      </c>
      <c r="O30" s="4">
        <f ca="1">RANDBETWEEN(1,3)/100+0.03</f>
        <v>0.04</v>
      </c>
      <c r="P30" s="4">
        <f ca="1">RANDBETWEEN(1,3)/100+0.03</f>
        <v>0.05</v>
      </c>
      <c r="Q30" s="4">
        <f t="shared" ca="1" si="23"/>
        <v>0.02</v>
      </c>
      <c r="R30" s="4">
        <f t="shared" ca="1" si="23"/>
        <v>0.02</v>
      </c>
      <c r="S30" s="4">
        <f t="shared" ca="1" si="23"/>
        <v>0.02</v>
      </c>
      <c r="T30" s="4">
        <f t="shared" ca="1" si="23"/>
        <v>0.01</v>
      </c>
      <c r="U30" s="4">
        <f ca="1">RANDBETWEEN(1,3)/100+0.03</f>
        <v>0.04</v>
      </c>
      <c r="V30" s="4">
        <f t="shared" ca="1" si="23"/>
        <v>0.03</v>
      </c>
      <c r="W30" s="75"/>
      <c r="X30" s="75"/>
      <c r="Y30" s="75"/>
      <c r="Z30" s="75"/>
      <c r="AA30" s="75"/>
      <c r="AB30" s="75"/>
    </row>
    <row r="31" spans="1:36" x14ac:dyDescent="0.25">
      <c r="J31" s="87">
        <f ca="1">SUM(L31:V31)</f>
        <v>0.29999999999999993</v>
      </c>
      <c r="K31" s="74" t="s">
        <v>133</v>
      </c>
      <c r="L31" s="4"/>
      <c r="M31" s="4">
        <f ca="1">RANDBETWEEN(1,3)/100</f>
        <v>0.02</v>
      </c>
      <c r="N31" s="4">
        <f t="shared" ca="1" si="23"/>
        <v>0.03</v>
      </c>
      <c r="O31" s="4">
        <f ca="1">RANDBETWEEN(1,3)/100+0.03</f>
        <v>0.04</v>
      </c>
      <c r="P31" s="4">
        <f ca="1">RANDBETWEEN(1,3)/100+0.03</f>
        <v>0.04</v>
      </c>
      <c r="Q31" s="4">
        <f t="shared" ca="1" si="23"/>
        <v>0.02</v>
      </c>
      <c r="R31" s="4">
        <f t="shared" ca="1" si="23"/>
        <v>0.02</v>
      </c>
      <c r="S31" s="4">
        <f t="shared" ca="1" si="23"/>
        <v>0.02</v>
      </c>
      <c r="T31" s="4">
        <f t="shared" ca="1" si="23"/>
        <v>0.02</v>
      </c>
      <c r="U31" s="4">
        <f ca="1">RANDBETWEEN(1,3)/100+0.03</f>
        <v>0.06</v>
      </c>
      <c r="V31" s="4">
        <f t="shared" ca="1" si="23"/>
        <v>0.03</v>
      </c>
      <c r="W31" s="75"/>
      <c r="X31" s="75"/>
      <c r="Y31" s="75"/>
      <c r="Z31" s="75"/>
      <c r="AA31" s="75"/>
      <c r="AB31" s="75"/>
    </row>
    <row r="32" spans="1:36" x14ac:dyDescent="0.25">
      <c r="J32" s="87"/>
      <c r="L32" s="4"/>
      <c r="M32" s="4"/>
      <c r="N32" s="4"/>
      <c r="O32" s="4"/>
      <c r="P32" s="4"/>
      <c r="Q32" s="4"/>
      <c r="R32" s="4"/>
      <c r="S32" s="4"/>
      <c r="T32" s="4"/>
      <c r="U32" s="4"/>
      <c r="V32" s="4"/>
      <c r="W32" s="75"/>
      <c r="X32" s="75"/>
      <c r="Y32" s="75"/>
      <c r="Z32" s="75"/>
      <c r="AA32" s="75"/>
      <c r="AB32" s="75"/>
    </row>
    <row r="33" spans="10:28" x14ac:dyDescent="0.25">
      <c r="J33" s="87"/>
      <c r="L33" s="4"/>
      <c r="M33" s="4"/>
      <c r="N33" s="4"/>
      <c r="O33" s="4"/>
      <c r="P33" s="4"/>
      <c r="Q33" s="4"/>
      <c r="R33" s="4"/>
      <c r="S33" s="4"/>
      <c r="T33" s="4"/>
      <c r="U33" s="4"/>
      <c r="V33" s="4"/>
      <c r="W33" s="75"/>
      <c r="X33" s="75"/>
      <c r="Y33" s="75"/>
      <c r="Z33" s="75"/>
      <c r="AA33" s="75"/>
      <c r="AB33" s="75"/>
    </row>
    <row r="34" spans="10:28" x14ac:dyDescent="0.25">
      <c r="J34" s="87"/>
      <c r="L34" s="4"/>
      <c r="M34" s="4"/>
      <c r="N34" s="4"/>
      <c r="O34" s="4"/>
      <c r="P34" s="4"/>
      <c r="Q34" s="4"/>
      <c r="R34" s="4"/>
      <c r="S34" s="4"/>
      <c r="T34" s="4"/>
      <c r="U34" s="4"/>
      <c r="V34" s="4"/>
      <c r="W34" s="75"/>
      <c r="X34" s="75"/>
      <c r="Y34" s="75"/>
      <c r="Z34" s="75"/>
      <c r="AA34" s="75"/>
      <c r="AB34" s="75"/>
    </row>
    <row r="35" spans="10:28" x14ac:dyDescent="0.25">
      <c r="J35" s="87"/>
      <c r="L35" s="4"/>
      <c r="M35" s="4"/>
      <c r="N35" s="4"/>
      <c r="O35" s="4"/>
      <c r="P35" s="4"/>
      <c r="Q35" s="4"/>
      <c r="R35" s="4"/>
      <c r="S35" s="4"/>
      <c r="T35" s="4"/>
      <c r="U35" s="4"/>
      <c r="V35" s="4"/>
      <c r="W35" s="75"/>
      <c r="X35" s="75"/>
      <c r="Y35" s="75"/>
      <c r="Z35" s="75"/>
      <c r="AA35" s="75"/>
      <c r="AB35" s="75"/>
    </row>
    <row r="36" spans="10:28" x14ac:dyDescent="0.25">
      <c r="J36" s="87"/>
      <c r="L36" s="4"/>
      <c r="M36" s="4"/>
      <c r="N36" s="4"/>
      <c r="O36" s="4"/>
      <c r="P36" s="4"/>
      <c r="Q36" s="4"/>
      <c r="R36" s="4"/>
      <c r="S36" s="4"/>
      <c r="T36" s="4"/>
      <c r="U36" s="4"/>
      <c r="V36" s="4"/>
      <c r="W36" s="4"/>
      <c r="X36" s="4"/>
      <c r="Y36" s="4"/>
      <c r="Z36" s="4"/>
      <c r="AA36" s="4"/>
      <c r="AB36" s="4"/>
    </row>
    <row r="37" spans="10:28" x14ac:dyDescent="0.25">
      <c r="J37" s="87"/>
      <c r="L37" s="4"/>
      <c r="M37" s="4"/>
      <c r="N37" s="4"/>
      <c r="O37" s="4"/>
      <c r="P37" s="4"/>
      <c r="Q37" s="4"/>
      <c r="R37" s="4"/>
      <c r="S37" s="4"/>
      <c r="T37" s="4"/>
      <c r="U37" s="4"/>
      <c r="V37" s="4"/>
      <c r="W37" s="4"/>
      <c r="X37" s="4"/>
      <c r="Y37" s="4"/>
      <c r="Z37" s="4"/>
      <c r="AA37" s="4"/>
      <c r="AB37" s="4"/>
    </row>
  </sheetData>
  <mergeCells count="1">
    <mergeCell ref="E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8461-5D62-4922-B56B-F87F181F9859}">
  <dimension ref="A1:AM37"/>
  <sheetViews>
    <sheetView workbookViewId="0"/>
  </sheetViews>
  <sheetFormatPr baseColWidth="10" defaultRowHeight="15" x14ac:dyDescent="0.25"/>
  <cols>
    <col min="1" max="1" width="20.140625" customWidth="1"/>
    <col min="6" max="6" width="6" customWidth="1"/>
    <col min="10" max="10" width="11.42578125" style="99"/>
    <col min="12" max="23" width="5.7109375" customWidth="1"/>
    <col min="24" max="37" width="11.42578125" customWidth="1"/>
  </cols>
  <sheetData>
    <row r="1" spans="1:39" ht="15.75" thickBot="1" x14ac:dyDescent="0.3"/>
    <row r="2" spans="1:39" ht="15.75" thickBot="1" x14ac:dyDescent="0.3">
      <c r="E2" s="176" t="s">
        <v>166</v>
      </c>
      <c r="F2" s="177"/>
      <c r="G2" s="68" t="s">
        <v>28</v>
      </c>
      <c r="H2" s="11" t="s">
        <v>131</v>
      </c>
      <c r="I2" s="11" t="s">
        <v>132</v>
      </c>
      <c r="L2" s="69"/>
      <c r="M2" s="63"/>
      <c r="N2" s="47"/>
      <c r="O2" s="46"/>
      <c r="P2" s="45"/>
      <c r="Q2" s="45"/>
      <c r="R2" s="46"/>
      <c r="S2" s="46"/>
      <c r="T2" s="45"/>
      <c r="U2" s="46"/>
      <c r="V2" s="45"/>
      <c r="W2" s="45"/>
      <c r="Y2" s="99"/>
      <c r="Z2" s="99"/>
      <c r="AA2" s="99"/>
      <c r="AB2" s="99"/>
      <c r="AC2" s="99"/>
      <c r="AD2" s="99" t="s">
        <v>64</v>
      </c>
      <c r="AE2" s="99"/>
      <c r="AF2" s="99" t="s">
        <v>68</v>
      </c>
      <c r="AG2" s="99"/>
      <c r="AH2" s="99"/>
      <c r="AI2" s="99"/>
      <c r="AJ2" s="99" t="s">
        <v>76</v>
      </c>
      <c r="AK2" s="99"/>
      <c r="AL2" s="99"/>
      <c r="AM2" s="99"/>
    </row>
    <row r="3" spans="1:39" x14ac:dyDescent="0.25">
      <c r="A3" s="113" t="s">
        <v>177</v>
      </c>
      <c r="B3" t="s">
        <v>55</v>
      </c>
      <c r="D3" s="63" t="s">
        <v>59</v>
      </c>
      <c r="E3" s="153">
        <v>8656346</v>
      </c>
      <c r="F3" s="120">
        <f>E3/SUM(E$3:E$13)</f>
        <v>0.24009129095333012</v>
      </c>
      <c r="G3" s="13">
        <f ca="1">(H3-I3/(COUNTA(B$3:B$11)/2))/100000</f>
        <v>112.10687957523815</v>
      </c>
      <c r="H3" s="20">
        <f>E3+M$4*E$4+M$5*E$5+M$6*E$6+M$7*E$7+M$8*E$8+M$9*E$9+M$10*E$10+M$11*E$11+E$12*M$12+E$13*M$13</f>
        <v>11482051.009619193</v>
      </c>
      <c r="I3" s="67">
        <f ca="1">M$21*E$4+M$22*E$5+M$23*E$6+M$24*E$7+M$25*E$8+M$26*E$9+M$27*E$10+M$28*E$11+E$12*M$29+E$13*M$30+B16*M$31+B19*M$32</f>
        <v>1221133.7344291965</v>
      </c>
      <c r="J3" s="87">
        <f>SUM(L3:W3)</f>
        <v>0.99999999999999989</v>
      </c>
      <c r="K3" s="63" t="s">
        <v>59</v>
      </c>
      <c r="L3" s="4">
        <v>0.55000000000000004</v>
      </c>
      <c r="M3" s="70"/>
      <c r="N3" s="4">
        <f>(AB3-MIN($AA3:$AK3))/$AL3</f>
        <v>8.3720930232558124E-2</v>
      </c>
      <c r="O3" s="4">
        <f t="shared" ref="O3:W3" si="0">(AC3-MIN($AA3:$AK3))/$AL3</f>
        <v>4.1860465116279062E-2</v>
      </c>
      <c r="P3" s="4">
        <f t="shared" si="0"/>
        <v>0</v>
      </c>
      <c r="Q3" s="4">
        <f t="shared" si="0"/>
        <v>0.11511627906976742</v>
      </c>
      <c r="R3" s="4">
        <f t="shared" si="0"/>
        <v>5.2325581395348826E-2</v>
      </c>
      <c r="S3" s="4">
        <f t="shared" si="0"/>
        <v>5.2325581395348826E-2</v>
      </c>
      <c r="T3" s="4">
        <f t="shared" si="0"/>
        <v>3.1395348837209298E-2</v>
      </c>
      <c r="U3" s="4">
        <f t="shared" si="0"/>
        <v>3.1395348837209298E-2</v>
      </c>
      <c r="V3" s="4">
        <f t="shared" si="0"/>
        <v>3.1395348837209298E-2</v>
      </c>
      <c r="W3" s="4">
        <f t="shared" si="0"/>
        <v>1.0465116279069766E-2</v>
      </c>
      <c r="X3" s="75"/>
      <c r="Y3" s="99" t="s">
        <v>59</v>
      </c>
      <c r="Z3" s="85"/>
      <c r="AA3" s="85"/>
      <c r="AB3" s="85">
        <f>Proposition!S$24*2+Proposition!S$28+Proposition!S$31+Proposition!S$34+Proposition!S$38+Proposition!S$40+Proposition!S$42</f>
        <v>2</v>
      </c>
      <c r="AC3" s="85">
        <f>Proposition!S$24+Proposition!S$31+Proposition!S$38+Proposition!S$42</f>
        <v>-2</v>
      </c>
      <c r="AD3" s="85">
        <f>Proposition!S$24+Proposition!S$26+Proposition!S$29+Proposition!S$31+Proposition!S$37+Proposition!S$38</f>
        <v>-6</v>
      </c>
      <c r="AE3" s="85">
        <f>Proposition!S$24*4+Proposition!S$29+Proposition!S$31</f>
        <v>5</v>
      </c>
      <c r="AF3" s="85">
        <f>Proposition!S$24+Proposition!S$26+Proposition!S$28+Proposition!S$31+Proposition!S$41</f>
        <v>-1</v>
      </c>
      <c r="AG3" s="85">
        <f>Proposition!S$27+Proposition!S$28+Proposition!S$31</f>
        <v>-1</v>
      </c>
      <c r="AH3" s="85">
        <f>Proposition!S$24+Proposition!S$29+Proposition!S$31+Proposition!S$35</f>
        <v>-3</v>
      </c>
      <c r="AI3" s="85">
        <f>Proposition!S$26+Proposition!S$28+Proposition!S$31+Proposition!S$41</f>
        <v>-3</v>
      </c>
      <c r="AJ3" s="85">
        <f>Proposition!S$24+Proposition!S$29+Proposition!S$31+Proposition!S$35</f>
        <v>-3</v>
      </c>
      <c r="AK3" s="85">
        <f>Proposition!S$26+Proposition!S$29+Proposition!S$31</f>
        <v>-5</v>
      </c>
      <c r="AL3" s="86">
        <f>SUM(AB3-MIN(AA3:AK3),AC3-MIN(AA3:AK3),AD3-MIN(AA3:AK3),AE3-MIN(AA3:AK3),AF3-MIN(AA3:AK3),AG3-MIN(AA3:AK3),AH3-MIN(AA3:AK3),AI3-MIN(AA3:AK3),AJ3-MIN(AA3:AK3),AK3-MIN(AA3:AK3))+((L3*SUM(AB3-MIN(AA3:AK3),AC3-MIN(AA3:AK3),AD3-MIN(AA3:AK3),AE3-MIN(AA3:AK3),AF3-MIN(AA3:AK3),AG3-MIN(AA3:AK3),AH3-MIN(AA3:AK3),AI3-MIN(AA3:AK3),AJ3-MIN(AA3:AK3),AK3-MIN(AA3:AK3)))/(1-L3))</f>
        <v>95.555555555555571</v>
      </c>
      <c r="AM3" s="99"/>
    </row>
    <row r="4" spans="1:39" x14ac:dyDescent="0.25">
      <c r="A4" s="113" t="s">
        <v>176</v>
      </c>
      <c r="B4" t="s">
        <v>56</v>
      </c>
      <c r="D4" s="47" t="s">
        <v>60</v>
      </c>
      <c r="E4" s="153">
        <v>7678491</v>
      </c>
      <c r="F4" s="120">
        <f t="shared" ref="F4:F13" si="1">E4/SUM(E$3:E$13)</f>
        <v>0.21296963138528968</v>
      </c>
      <c r="G4" s="13">
        <f t="shared" ref="G4:G12" ca="1" si="2">(H4-I4/(COUNTA(B$3:B$11)/2))/100000</f>
        <v>93.630128692084384</v>
      </c>
      <c r="H4" s="20">
        <f>E4+N$3*E$3+N$5*E$5+N$6*E$6+N$7*E$7+N$8*E$8+N$9*E$9+N$10*E$10+N$11*E$11+E$12*N$12+E$13*N$13</f>
        <v>10028235.62220435</v>
      </c>
      <c r="I4" s="67">
        <f ca="1">N$20*E$3+N$22*E$5+N$23*E$6+N$24*E$7+N$25*E$8+N$26*E$9+N$27*E$10+N$28*E$11+E$12*N$29+E$13*N$30+B16*N$31+B19*N$32</f>
        <v>2993502.3884816011</v>
      </c>
      <c r="J4" s="87">
        <f t="shared" ref="J4:J32" si="3">SUM(L4:W4)</f>
        <v>1</v>
      </c>
      <c r="K4" s="47" t="s">
        <v>60</v>
      </c>
      <c r="L4" s="4">
        <v>0.55000000000000004</v>
      </c>
      <c r="M4" s="4">
        <f t="shared" ref="M4:M13" si="4">(AA4-MIN($AA4:$AK4))/$AL4</f>
        <v>0.10909090909090907</v>
      </c>
      <c r="N4" s="71"/>
      <c r="O4" s="4">
        <f t="shared" ref="O4:O13" si="5">(AC4-MIN($AA4:$AK4))/$AL4</f>
        <v>2.7272727272727268E-2</v>
      </c>
      <c r="P4" s="4">
        <f t="shared" ref="P4:P13" si="6">(AD4-MIN($AA4:$AK4))/$AL4</f>
        <v>0</v>
      </c>
      <c r="Q4" s="4">
        <f t="shared" ref="Q4:Q13" si="7">(AE4-MIN($AA4:$AK4))/$AL4</f>
        <v>9.5454545454545445E-2</v>
      </c>
      <c r="R4" s="4">
        <f t="shared" ref="R4:R13" si="8">(AF4-MIN($AA4:$AK4))/$AL4</f>
        <v>0.10909090909090907</v>
      </c>
      <c r="S4" s="4">
        <f t="shared" ref="S4:S13" si="9">(AG4-MIN($AA4:$AK4))/$AL4</f>
        <v>4.0909090909090902E-2</v>
      </c>
      <c r="T4" s="4">
        <f t="shared" ref="T4:T13" si="10">(AH4-MIN($AA4:$AK4))/$AL4</f>
        <v>1.3636363636363634E-2</v>
      </c>
      <c r="U4" s="4">
        <f t="shared" ref="U4:U13" si="11">(AI4-MIN($AA4:$AK4))/$AL4</f>
        <v>4.0909090909090902E-2</v>
      </c>
      <c r="V4" s="4">
        <f t="shared" ref="V4:V13" si="12">(AJ4-MIN($AA4:$AK4))/$AL4</f>
        <v>1.3636363636363634E-2</v>
      </c>
      <c r="W4" s="4">
        <f t="shared" ref="W4:W12" si="13">(AK4-MIN($AA4:$AK4))/$AL4</f>
        <v>0</v>
      </c>
      <c r="X4" s="75"/>
      <c r="Y4" s="99" t="s">
        <v>60</v>
      </c>
      <c r="Z4" s="85"/>
      <c r="AA4" s="85">
        <f>Proposition!S$24*2+Proposition!S$28+Proposition!S$31+Proposition!S$38+Proposition!S$43</f>
        <v>4</v>
      </c>
      <c r="AB4" s="85"/>
      <c r="AC4" s="85">
        <f>Proposition!S$24+Proposition!S$31+Proposition!S$38+Proposition!S$42</f>
        <v>-2</v>
      </c>
      <c r="AD4" s="85">
        <f>Proposition!S$24+Proposition!S$29+Proposition!S$31+Proposition!S$37+Proposition!S$38</f>
        <v>-4</v>
      </c>
      <c r="AE4" s="85">
        <f>Proposition!S$24*3+Proposition!S$29+Proposition!S$31</f>
        <v>3</v>
      </c>
      <c r="AF4" s="85">
        <f>Proposition!S$24*2+Proposition!S$25+Proposition!S$28+Proposition!S$31+Proposition!S$41</f>
        <v>4</v>
      </c>
      <c r="AG4" s="85">
        <f>Proposition!S$27+Proposition!S$28+Proposition!S$31</f>
        <v>-1</v>
      </c>
      <c r="AH4" s="85">
        <f>Proposition!S$24+Proposition!S$29+Proposition!S$31+Proposition!S$36</f>
        <v>-3</v>
      </c>
      <c r="AI4" s="85">
        <f>Proposition!S$27+Proposition!S$28+Proposition!S$41</f>
        <v>-1</v>
      </c>
      <c r="AJ4" s="85">
        <f>Proposition!S$24+Proposition!S$29+Proposition!S$31+Proposition!S$36</f>
        <v>-3</v>
      </c>
      <c r="AK4" s="85">
        <f>Proposition!S$27+Proposition!S$29+Proposition!S$31</f>
        <v>-4</v>
      </c>
      <c r="AL4" s="86">
        <f>SUM(AA4-MIN(AA4:AK4),AC4-MIN(AA4:AK4),AD4-MIN(AA4:AK4),AE4-MIN(AA4:AK4),AF4-MIN(AA4:AK4),AG4-MIN(AA4:AK4),AH4-MIN(AA4:AK4),AI4-MIN(AA4:AK4),AJ4-MIN(AA4:AK4),AK4-MIN(AA4:AK4))+((L4*SUM(AA4-MIN(AA4:AK4),AC4-MIN(AA4:AK4),AD4-MIN(AA4:AK4),AE4-MIN(AA4:AK4),AF4-MIN(AA4:AK4),AG4-MIN(AA4:AK4),AH4-MIN(AA4:AK4),AI4-MIN(AA4:AK4),AJ4-MIN(AA4:AK4),AK4-MIN(AA4:AK4)))/(1-L4))</f>
        <v>73.333333333333343</v>
      </c>
      <c r="AM4" s="99"/>
    </row>
    <row r="5" spans="1:39" x14ac:dyDescent="0.25">
      <c r="A5" s="113" t="s">
        <v>178</v>
      </c>
      <c r="B5" t="s">
        <v>61</v>
      </c>
      <c r="D5" s="46" t="s">
        <v>62</v>
      </c>
      <c r="E5" s="153">
        <v>7212995</v>
      </c>
      <c r="F5" s="120">
        <f t="shared" si="1"/>
        <v>0.20005869464897955</v>
      </c>
      <c r="G5" s="13">
        <f t="shared" ca="1" si="2"/>
        <v>73.945277302582838</v>
      </c>
      <c r="H5" s="20">
        <f>E5+O$4*E$4+O$3*E$3+O$6*E$6+O$7*E$7+O$8*E$8+O$9*E$9+O$10*E$10+O$11*E$11+E$12*O$12+E$13*O$13</f>
        <v>8297460.480621866</v>
      </c>
      <c r="I5" s="67">
        <f ca="1">O$21*E$4+O$20*E$3+O$23*E$6+O$24*E$7+O$25*E$8+O$26*E$9+O$27*E$10+O$28*E$11+E$12*O$29+E$13*O$30+B16*O$31+B19*O$32</f>
        <v>4063197.3766361224</v>
      </c>
      <c r="J5" s="87">
        <f t="shared" si="3"/>
        <v>1</v>
      </c>
      <c r="K5" s="46" t="s">
        <v>62</v>
      </c>
      <c r="L5" s="4">
        <v>0.34</v>
      </c>
      <c r="M5" s="82">
        <f t="shared" si="4"/>
        <v>0.10999999999999999</v>
      </c>
      <c r="N5" s="82">
        <f t="shared" ref="N5:N13" si="14">(AB5-MIN($AA5:$AK5))/$AL5</f>
        <v>8.7999999999999995E-2</v>
      </c>
      <c r="O5" s="71"/>
      <c r="P5" s="4">
        <f t="shared" si="6"/>
        <v>0</v>
      </c>
      <c r="Q5" s="4">
        <f t="shared" si="7"/>
        <v>7.6999999999999985E-2</v>
      </c>
      <c r="R5" s="4">
        <f t="shared" si="8"/>
        <v>0.14299999999999999</v>
      </c>
      <c r="S5" s="4">
        <f t="shared" si="9"/>
        <v>7.6999999999999985E-2</v>
      </c>
      <c r="T5" s="4">
        <f t="shared" si="10"/>
        <v>2.1999999999999999E-2</v>
      </c>
      <c r="U5" s="4">
        <f t="shared" si="11"/>
        <v>7.6999999999999985E-2</v>
      </c>
      <c r="V5" s="4">
        <f t="shared" si="12"/>
        <v>2.1999999999999999E-2</v>
      </c>
      <c r="W5" s="4">
        <f t="shared" si="13"/>
        <v>4.3999999999999997E-2</v>
      </c>
      <c r="X5" s="75"/>
      <c r="Y5" s="99" t="s">
        <v>62</v>
      </c>
      <c r="Z5" s="85"/>
      <c r="AA5" s="112">
        <f>Proposition!S$24+Proposition!S$28+Proposition!S$31+Proposition!S$38+Proposition!S$43</f>
        <v>2</v>
      </c>
      <c r="AB5" s="112">
        <f>Proposition!S$24+Proposition!S$28+Proposition!S$31+Proposition!S$34+Proposition!S$38+Proposition!S$40+Proposition!S$42</f>
        <v>0</v>
      </c>
      <c r="AC5" s="85"/>
      <c r="AD5" s="85">
        <f>Proposition!S$26+Proposition!S$29+Proposition!S$31+Proposition!S$37+Proposition!S$38</f>
        <v>-8</v>
      </c>
      <c r="AE5" s="85">
        <f>Proposition!S$24+Proposition!S$29+Proposition!S$31</f>
        <v>-1</v>
      </c>
      <c r="AF5" s="85">
        <f>Proposition!S$24*2+Proposition!S$28+Proposition!S$30+Proposition!S$41</f>
        <v>5</v>
      </c>
      <c r="AG5" s="85">
        <f>Proposition!S$27+Proposition!S$28+Proposition!S$31</f>
        <v>-1</v>
      </c>
      <c r="AH5" s="85">
        <f>Proposition!S$27+Proposition!S$29+Proposition!S$31+Proposition!S$35</f>
        <v>-6</v>
      </c>
      <c r="AI5" s="85">
        <f>+Proposition!S$28+Proposition!S$31+Proposition!S$41</f>
        <v>-1</v>
      </c>
      <c r="AJ5" s="85">
        <f>Proposition!S$27+Proposition!S$29+Proposition!S$31+Proposition!S$35</f>
        <v>-6</v>
      </c>
      <c r="AK5" s="85">
        <f>Proposition!S$27+Proposition!S$29+Proposition!S$31</f>
        <v>-4</v>
      </c>
      <c r="AL5" s="86">
        <f>SUM(AA5-MIN(AA5:AK5),AB5-MIN(AA5:AK5),AD5-MIN(AA5:AK5),AE5-MIN(AA5:AK5),AF5-MIN(AA5:AK5),AG5-MIN(AA5:AK5),AH5-MIN(AA5:AK5),AI5-MIN(AA5:AK5),AJ5-MIN(AA5:AK5),AK5-MIN(AA5:AK5))+((L5*SUM(AA5-MIN(AA5:AK5),AB5-MIN(AA5:AK5),AD5-MIN(AA5:AK5),AE5-MIN(AA5:AK5),AF5-MIN(AA5:AK5),AG5-MIN(AA5:AK5),AH5-MIN(AA5:AK5),AI5-MIN(AA5:AK5),AJ5-MIN(AA5:AK5),AK5-MIN(AA5:AK5)))/(1-L5))</f>
        <v>90.909090909090921</v>
      </c>
      <c r="AM5" s="99"/>
    </row>
    <row r="6" spans="1:39" x14ac:dyDescent="0.25">
      <c r="A6" s="130"/>
      <c r="B6" t="s">
        <v>63</v>
      </c>
      <c r="D6" s="45" t="s">
        <v>64</v>
      </c>
      <c r="E6" s="153">
        <v>7059951</v>
      </c>
      <c r="F6" s="120">
        <f t="shared" si="1"/>
        <v>0.19581388609665717</v>
      </c>
      <c r="G6" s="13">
        <f t="shared" ca="1" si="2"/>
        <v>64.817189461898536</v>
      </c>
      <c r="H6" s="20">
        <f>E6+P$4*E$4+P$5*E$5+P$3*E$3+P$7*E$7+P$8*E$8+P$9*E$9+P$10*E$10+P$11*E$11+E$12*P$12+E$13*P$13</f>
        <v>7562825.9930071579</v>
      </c>
      <c r="I6" s="67">
        <f ca="1">P$21*E$4+P$22*E$5+P$20*E$3+P$24*E$7+P$25*E$8+P$26*E$9+P$27*E$10+P$28*E$11+E$12*P$29+E$13*P$30+B16*P$31+B19*P$32</f>
        <v>4864981.710677865</v>
      </c>
      <c r="J6" s="87">
        <f t="shared" si="3"/>
        <v>1</v>
      </c>
      <c r="K6" s="45" t="s">
        <v>64</v>
      </c>
      <c r="L6" s="4">
        <v>0.34</v>
      </c>
      <c r="M6" s="83">
        <f t="shared" si="4"/>
        <v>5.3225806451612907E-2</v>
      </c>
      <c r="N6" s="83">
        <f t="shared" si="14"/>
        <v>4.2580645161290322E-2</v>
      </c>
      <c r="O6" s="4">
        <f t="shared" si="5"/>
        <v>0</v>
      </c>
      <c r="P6" s="71"/>
      <c r="Q6" s="4">
        <f t="shared" si="7"/>
        <v>0.12774193548387097</v>
      </c>
      <c r="R6" s="4">
        <f t="shared" si="8"/>
        <v>6.3870967741935486E-2</v>
      </c>
      <c r="S6" s="4">
        <f t="shared" si="9"/>
        <v>3.1935483870967743E-2</v>
      </c>
      <c r="T6" s="4">
        <f t="shared" si="10"/>
        <v>9.5806451612903229E-2</v>
      </c>
      <c r="U6" s="4">
        <f t="shared" si="11"/>
        <v>6.3870967741935486E-2</v>
      </c>
      <c r="V6" s="4">
        <f t="shared" si="12"/>
        <v>9.5806451612903229E-2</v>
      </c>
      <c r="W6" s="4">
        <f t="shared" si="13"/>
        <v>8.5161290322580643E-2</v>
      </c>
      <c r="X6" s="75"/>
      <c r="Y6" s="99" t="s">
        <v>64</v>
      </c>
      <c r="Z6" s="85"/>
      <c r="AA6" s="112">
        <f>Proposition!S$24+Proposition!S$26+Proposition!S$29+Proposition!S$31+Proposition!S$38+Proposition!S$43</f>
        <v>-3</v>
      </c>
      <c r="AB6" s="112">
        <f>Proposition!S$24+Proposition!S$29+Proposition!S$31+Proposition!S$35+Proposition!S$38+Proposition!S$40+Proposition!S$42</f>
        <v>-4</v>
      </c>
      <c r="AC6" s="85">
        <f>Proposition!S$26+Proposition!S$29+Proposition!S$31+Proposition!S$38+Proposition!S$42</f>
        <v>-8</v>
      </c>
      <c r="AD6" s="85"/>
      <c r="AE6" s="85">
        <f>Proposition!S$24*3+Proposition!S$26+Proposition!S$28+Proposition!S$31</f>
        <v>4</v>
      </c>
      <c r="AF6" s="85">
        <f>Proposition!S$24+Proposition!S$29+Proposition!S$31+Proposition!S$41</f>
        <v>-2</v>
      </c>
      <c r="AG6" s="85">
        <f>Proposition!S$26+Proposition!S$29+Proposition!S$31</f>
        <v>-5</v>
      </c>
      <c r="AH6" s="85">
        <f>Proposition!S$24+Proposition!S$28+Proposition!S$31+Proposition!S$34</f>
        <v>1</v>
      </c>
      <c r="AI6" s="85">
        <f>Proposition!S$24+Proposition!S$29+Proposition!S$31+Proposition!S$41</f>
        <v>-2</v>
      </c>
      <c r="AJ6" s="85">
        <f>Proposition!S$24+Proposition!S$28+Proposition!S$31+Proposition!S$34</f>
        <v>1</v>
      </c>
      <c r="AK6" s="85">
        <f>Proposition!S$24+Proposition!S$26+Proposition!S$28+Proposition!S$31</f>
        <v>0</v>
      </c>
      <c r="AL6" s="86">
        <f>SUM(AA6-MIN(AA6:AK6),AB6-MIN(AA6:AK6),AC6-MIN(AA6:AK6),AE6-MIN(AA6:AK6),AF6-MIN(AA6:AK6),AG6-MIN(AA6:AK6),AH6-MIN(AA6:AK6),AI6-MIN(AA6:AK6),AJ6-MIN(AA6:AK6),AK6-MIN(AA6:AK6))+((L6*SUM(AA6-MIN(AA6:AK6),AB6-MIN(AA6:AK6),AC6-MIN(AA6:AK6),AE6-MIN(AA6:AK6),AF6-MIN(AA6:AK6),AG6-MIN(AA6:AK6),AH6-MIN(AA6:AK6),AI6-MIN(AA6:AK6),AJ6-MIN(AA6:AK6),AK6-MIN(AA6:AK6)))/(1-L6))</f>
        <v>93.939393939393938</v>
      </c>
      <c r="AM6" s="99"/>
    </row>
    <row r="7" spans="1:39" x14ac:dyDescent="0.25">
      <c r="A7" s="130"/>
      <c r="B7" t="s">
        <v>65</v>
      </c>
      <c r="D7" s="45" t="s">
        <v>66</v>
      </c>
      <c r="E7" s="153">
        <v>2291288</v>
      </c>
      <c r="F7" s="120">
        <f t="shared" si="1"/>
        <v>6.3550867059365912E-2</v>
      </c>
      <c r="G7" s="13">
        <f t="shared" ca="1" si="2"/>
        <v>54.846089182218137</v>
      </c>
      <c r="H7" s="20">
        <f>E7+Q$4*E$4+Q$5*E$5+Q$6*E$6+Q$3*E$3+Q$8*E$8+Q$9*E$9+Q$10*E$10+Q$11*E$11+E$12*Q$12+E$13*Q$13</f>
        <v>5803130.8261059849</v>
      </c>
      <c r="I7" s="67">
        <f ca="1">Q$21*E$4+Q$22*E$5+Q$23*E$6+Q$20*E$3+Q$25*E$8+Q$26*E$9+Q$27*E$10+Q$28*E$11+E$12*Q$29+E$13*Q$30+B16*Q$31+B19*Q$32</f>
        <v>1433348.5854787719</v>
      </c>
      <c r="J7" s="87">
        <f t="shared" si="3"/>
        <v>0.99999999999999989</v>
      </c>
      <c r="K7" s="45" t="s">
        <v>66</v>
      </c>
      <c r="L7" s="4">
        <v>0.21</v>
      </c>
      <c r="M7" s="83">
        <f t="shared" si="4"/>
        <v>0.163015873015873</v>
      </c>
      <c r="N7" s="83">
        <f t="shared" si="14"/>
        <v>0.10031746031746031</v>
      </c>
      <c r="O7" s="4">
        <f t="shared" si="5"/>
        <v>7.5238095238095229E-2</v>
      </c>
      <c r="P7" s="4">
        <f t="shared" si="6"/>
        <v>0.11285714285714285</v>
      </c>
      <c r="Q7" s="71"/>
      <c r="R7" s="4">
        <f t="shared" si="8"/>
        <v>7.5238095238095229E-2</v>
      </c>
      <c r="S7" s="4">
        <f t="shared" si="9"/>
        <v>1.2539682539682538E-2</v>
      </c>
      <c r="T7" s="4">
        <f t="shared" si="10"/>
        <v>8.7777777777777774E-2</v>
      </c>
      <c r="U7" s="4">
        <f t="shared" si="11"/>
        <v>0</v>
      </c>
      <c r="V7" s="4">
        <f t="shared" si="12"/>
        <v>8.7777777777777774E-2</v>
      </c>
      <c r="W7" s="4">
        <f t="shared" si="13"/>
        <v>7.5238095238095229E-2</v>
      </c>
      <c r="X7" s="75"/>
      <c r="Y7" s="99" t="s">
        <v>66</v>
      </c>
      <c r="Z7" s="85"/>
      <c r="AA7" s="112">
        <f>Proposition!S$24*4+Proposition!S$29+Proposition!S$31+Proposition!S$43</f>
        <v>7</v>
      </c>
      <c r="AB7" s="112">
        <f>Proposition!S$24*3+Proposition!S$29+Proposition!S$31+Proposition!S$35+Proposition!S$40+Proposition!S$42</f>
        <v>2</v>
      </c>
      <c r="AC7" s="85">
        <f>Proposition!S$24+Proposition!S$31+Proposition!S$42</f>
        <v>0</v>
      </c>
      <c r="AD7" s="85">
        <f>Proposition!S$24*3+Proposition!S$26+Proposition!S$28+Proposition!S$31+Proposition!S$37</f>
        <v>3</v>
      </c>
      <c r="AE7" s="85"/>
      <c r="AF7" s="85">
        <f>Proposition!S$24*3+Proposition!S$26+Proposition!S$29+Proposition!S$31+Proposition!S$41</f>
        <v>0</v>
      </c>
      <c r="AG7" s="85">
        <f>Proposition!S$26+Proposition!S$29+Proposition!S$31</f>
        <v>-5</v>
      </c>
      <c r="AH7" s="85">
        <f>Proposition!S$24+Proposition!S$28+Proposition!S$31+Proposition!S$34</f>
        <v>1</v>
      </c>
      <c r="AI7" s="85">
        <f>Proposition!S$26+Proposition!S$29+Proposition!S$31+Proposition!S$41</f>
        <v>-6</v>
      </c>
      <c r="AJ7" s="85">
        <f>Proposition!S$24+Proposition!S$28+Proposition!S$31+Proposition!S$34</f>
        <v>1</v>
      </c>
      <c r="AK7" s="85">
        <f>Proposition!S$24+Proposition!S$26+Proposition!S$28+Proposition!S$31</f>
        <v>0</v>
      </c>
      <c r="AL7" s="86">
        <f>SUM(AA7-MIN(AA7:AK7),AB7-MIN(AA7:AK7),AC7-MIN(AA7:AK7),AD7-MIN(AA7:AK7),AF7-MIN(AA7:AK7),AG7-MIN(AA7:AK7),AH7-MIN(AA7:AK7),AI7-MIN(AA7:AK7),AJ7-MIN(AA7:AK7),AK7-MIN(AA7:AK7))+((L7*SUM(AA7-MIN(AA7:AK7),AB7-MIN(AA7:AK7),AC7-MIN(AA7:AK7),AD7-MIN(AA7:AK7),AF7-MIN(AA7:AK7),AG7-MIN(AA7:AK7),AH7-MIN(AA7:AK7),AI7-MIN(AA7:AK7),AJ7-MIN(AA7:AK7),AK7-MIN(AA7:AK7)))/(1-L7))</f>
        <v>79.74683544303798</v>
      </c>
      <c r="AM7" s="99"/>
    </row>
    <row r="8" spans="1:39" x14ac:dyDescent="0.25">
      <c r="A8" s="130"/>
      <c r="B8" t="s">
        <v>67</v>
      </c>
      <c r="D8" s="46" t="s">
        <v>68</v>
      </c>
      <c r="E8" s="153">
        <v>1695000</v>
      </c>
      <c r="F8" s="120">
        <f t="shared" si="1"/>
        <v>4.7012300359284921E-2</v>
      </c>
      <c r="G8" s="13">
        <f t="shared" ca="1" si="2"/>
        <v>42.033475723498604</v>
      </c>
      <c r="H8" s="20">
        <f>E8+R$4*E$4+R$5*E$5+R$6*E$6+R$7*E$7+R$3*E$3+R$9*E$9+R$10*E$10+R$11*E$11+E$12*R$12+E$13*R$13</f>
        <v>4749448.3277079184</v>
      </c>
      <c r="I8" s="67">
        <f ca="1">R$21*E$4+R$22*E$5+R$23*E$6+R$24*E$7+R$20*E$3+R$26*E$9+R$27*E$10+R$28*E$11+E$12*R$29+E$13*R$30+B16*R$31+B19*R$32</f>
        <v>2457453.3991112597</v>
      </c>
      <c r="J8" s="87">
        <f t="shared" si="3"/>
        <v>1</v>
      </c>
      <c r="K8" s="46" t="s">
        <v>68</v>
      </c>
      <c r="L8" s="4">
        <v>0.13</v>
      </c>
      <c r="M8" s="83">
        <f t="shared" si="4"/>
        <v>0.12888888888888889</v>
      </c>
      <c r="N8" s="83">
        <f t="shared" si="14"/>
        <v>0.17722222222222223</v>
      </c>
      <c r="O8" s="4">
        <f t="shared" si="5"/>
        <v>0.16111111111111109</v>
      </c>
      <c r="P8" s="4">
        <f t="shared" si="6"/>
        <v>6.4444444444444443E-2</v>
      </c>
      <c r="Q8" s="4">
        <f t="shared" si="7"/>
        <v>0.11277777777777777</v>
      </c>
      <c r="R8" s="71"/>
      <c r="S8" s="4">
        <f t="shared" si="9"/>
        <v>8.0555555555555547E-2</v>
      </c>
      <c r="T8" s="4">
        <f t="shared" si="10"/>
        <v>0</v>
      </c>
      <c r="U8" s="4">
        <f t="shared" si="11"/>
        <v>6.4444444444444443E-2</v>
      </c>
      <c r="V8" s="4">
        <f t="shared" si="12"/>
        <v>0</v>
      </c>
      <c r="W8" s="4">
        <f t="shared" si="13"/>
        <v>8.0555555555555547E-2</v>
      </c>
      <c r="X8" s="75"/>
      <c r="Y8" s="99" t="s">
        <v>68</v>
      </c>
      <c r="Z8" s="85"/>
      <c r="AA8" s="112">
        <f>Proposition!S$24+Proposition!S$26+Proposition!S$28+Proposition!S$31+Proposition!S$43</f>
        <v>2</v>
      </c>
      <c r="AB8" s="112">
        <f>Proposition!S$24*2+Proposition!S$25+Proposition!S$28+Proposition!S$31+Proposition!S$34+Proposition!S$40+Proposition!S$42</f>
        <v>5</v>
      </c>
      <c r="AC8" s="85">
        <f>Proposition!S$24*2+Proposition!S$30+Proposition!S$42</f>
        <v>4</v>
      </c>
      <c r="AD8" s="85">
        <f>Proposition!S$24+Proposition!S$29+Proposition!S$31+Proposition!S$37</f>
        <v>-2</v>
      </c>
      <c r="AE8" s="85">
        <f>Proposition!S$24*3+Proposition!S$26+Proposition!S$29+Proposition!S$31</f>
        <v>1</v>
      </c>
      <c r="AF8" s="85"/>
      <c r="AG8" s="85">
        <f>Proposition!S$27+Proposition!S$28+Proposition!S$31</f>
        <v>-1</v>
      </c>
      <c r="AH8" s="85">
        <f>Proposition!S$27+Proposition!S$29+Proposition!S$31+Proposition!S$35</f>
        <v>-6</v>
      </c>
      <c r="AI8" s="85">
        <f>Proposition!S$27+Proposition!S$28+Proposition!S$31+Proposition!S$41</f>
        <v>-2</v>
      </c>
      <c r="AJ8" s="85">
        <f>Proposition!S$27+Proposition!S$29+Proposition!S$31+Proposition!S$35</f>
        <v>-6</v>
      </c>
      <c r="AK8" s="85">
        <f>Proposition!S$24+Proposition!S$29+Proposition!S$31</f>
        <v>-1</v>
      </c>
      <c r="AL8" s="86">
        <f>SUM(AA8-MIN(AA8:AK8),AB8-MIN(AA8:AK8),AC8-MIN(AA8:AK8),AD8-MIN(AA8:AK8),AE8-MIN(AA8:AK8),AG8-MIN(AA8:AK8),AH8-MIN(AA8:AK8),AI8-MIN(AA8:AK8),AJ8-MIN(AA8:AK8),AK8-MIN(AA8:AK8))+((L8*SUM(AA8-MIN(AA8:AK8),AB8-MIN(AA8:AK8),AC8-MIN(AA8:AK8),AD8-MIN(AA8:AK8),AE8-MIN(AA8:AK8),AG8-MIN(AA8:AK8),AH8-MIN(AA8:AK8),AI8-MIN(AA8:AK8),AJ8-MIN(AA8:AK8),AK8-MIN(AA8:AK8)))/(1-L8))</f>
        <v>62.068965517241381</v>
      </c>
      <c r="AM8" s="99"/>
    </row>
    <row r="9" spans="1:39" x14ac:dyDescent="0.25">
      <c r="A9" s="130"/>
      <c r="B9" t="s">
        <v>69</v>
      </c>
      <c r="D9" s="46" t="s">
        <v>70</v>
      </c>
      <c r="E9" s="153">
        <v>435301</v>
      </c>
      <c r="F9" s="120">
        <f t="shared" si="1"/>
        <v>1.2073452129024829E-2</v>
      </c>
      <c r="G9" s="13">
        <f t="shared" ca="1" si="2"/>
        <v>15.409945322774902</v>
      </c>
      <c r="H9" s="20">
        <f>E9+S$4*E$4+S$5*E$5+S$6*E$6+S$7*E$7+S$8*E$8+S$3*E$3+S$10*E$10+S$11*E$11+E$12*S$12+E$13*S$13</f>
        <v>2233588.9184925789</v>
      </c>
      <c r="I9" s="67">
        <f ca="1">S$21*E$4+S$22*E$5+S$23*E$6+S$24*E$7+S$25*E$8+S$20*E$3+S$27*E$10+S$28*E$11+E$12*S$29+E$13*S$30+B16*S$31+B19*S$32</f>
        <v>3116674.7379678991</v>
      </c>
      <c r="J9" s="87">
        <f t="shared" si="3"/>
        <v>0.99999999999999989</v>
      </c>
      <c r="K9" s="46" t="s">
        <v>70</v>
      </c>
      <c r="L9" s="4">
        <v>0.08</v>
      </c>
      <c r="M9" s="83">
        <f t="shared" si="4"/>
        <v>0.20774193548387096</v>
      </c>
      <c r="N9" s="83">
        <f t="shared" si="14"/>
        <v>0.14838709677419354</v>
      </c>
      <c r="O9" s="4">
        <f t="shared" si="5"/>
        <v>8.9032258064516118E-2</v>
      </c>
      <c r="P9" s="4">
        <f t="shared" si="6"/>
        <v>0</v>
      </c>
      <c r="Q9" s="4">
        <f t="shared" si="7"/>
        <v>2.9677419354838707E-2</v>
      </c>
      <c r="R9" s="4">
        <f t="shared" si="8"/>
        <v>0.11870967741935483</v>
      </c>
      <c r="S9" s="71"/>
      <c r="T9" s="4">
        <f t="shared" si="10"/>
        <v>0</v>
      </c>
      <c r="U9" s="4">
        <f t="shared" si="11"/>
        <v>0.11870967741935483</v>
      </c>
      <c r="V9" s="4">
        <f t="shared" si="12"/>
        <v>0</v>
      </c>
      <c r="W9" s="4">
        <f t="shared" si="13"/>
        <v>0.20774193548387096</v>
      </c>
      <c r="X9" s="75"/>
      <c r="Y9" s="99" t="s">
        <v>70</v>
      </c>
      <c r="Z9" s="85"/>
      <c r="AA9" s="112">
        <f>Proposition!S$27+Proposition!S$28+Proposition!S$31+Proposition!S$43</f>
        <v>1</v>
      </c>
      <c r="AB9" s="112">
        <f>Proposition!S$27+Proposition!S$28+Proposition!S$31+Proposition!S$34+Proposition!S$40+Proposition!S$42</f>
        <v>-1</v>
      </c>
      <c r="AC9" s="85">
        <f>Proposition!S$27+Proposition!S$31+Proposition!S$42</f>
        <v>-3</v>
      </c>
      <c r="AD9" s="85">
        <f>Proposition!S$26+Proposition!S$29+Proposition!S$31+Proposition!S$37</f>
        <v>-6</v>
      </c>
      <c r="AE9" s="85">
        <f>Proposition!S$26+Proposition!S$29+Proposition!S$31</f>
        <v>-5</v>
      </c>
      <c r="AF9" s="85">
        <f>Proposition!S$27+Proposition!S$28+Proposition!S$31+Proposition!S$41</f>
        <v>-2</v>
      </c>
      <c r="AG9" s="85"/>
      <c r="AH9" s="85">
        <f>Proposition!S$27+Proposition!S$29+Proposition!S$31+Proposition!S$35</f>
        <v>-6</v>
      </c>
      <c r="AI9" s="85">
        <f>Proposition!S$27+Proposition!S$28+Proposition!S$31+Proposition!S$41</f>
        <v>-2</v>
      </c>
      <c r="AJ9" s="85">
        <f>Proposition!S$27+Proposition!S$29+Proposition!S$31+Proposition!S$35</f>
        <v>-6</v>
      </c>
      <c r="AK9" s="85">
        <f>Proposition!S$24*2+Proposition!S$29+Proposition!S$31</f>
        <v>1</v>
      </c>
      <c r="AL9" s="86">
        <f>SUM(AA9-MIN(AA9:AK9),AB9-MIN(AA9:AK9),AC9-MIN(AA9:AK9),AD9-MIN(AA9:AK9),AE9-MIN(AA9:AK9),AF9-MIN(AA9:AK9),AH9-MIN(AA9:AK9),AI9-MIN(AA9:AK9),AJ9-MIN(AA9:AK9),AK9-MIN(AA9:AK9))+((L9*SUM(AA9-MIN(AA9:AK9),AB9-MIN(AA9:AK9),AC9-MIN(AA9:AK9),AD9-MIN(AA9:AK9),AE9-MIN(AA9:AK9),AF9-MIN(AA9:AK9),AH9-MIN(AA9:AK9),AI9-MIN(AA9:AK9),AJ9-MIN(AA9:AK9),AK9-MIN(AA9:AK9)))/(1-L9))</f>
        <v>33.695652173913047</v>
      </c>
      <c r="AM9" s="99"/>
    </row>
    <row r="10" spans="1:39" x14ac:dyDescent="0.25">
      <c r="A10" s="130"/>
      <c r="B10" t="s">
        <v>71</v>
      </c>
      <c r="D10" s="45" t="s">
        <v>72</v>
      </c>
      <c r="E10" s="153">
        <v>394505</v>
      </c>
      <c r="F10" s="120">
        <f t="shared" si="1"/>
        <v>1.0941939559433449E-2</v>
      </c>
      <c r="G10" s="13">
        <f t="shared" ca="1" si="2"/>
        <v>9.553298277973747</v>
      </c>
      <c r="H10" s="20">
        <f>E10+T$4*E$4+T$5*E$5+T$6*E$6+T$7*E$7+T$8*E$8+T$9*E$9+T$3*E$3+T$11*E$11+E$12*T$12+E$13*T$13</f>
        <v>1875244.5716828408</v>
      </c>
      <c r="I10" s="67">
        <f ca="1">T$21*E$4+T$22*E$5+T$23*E$6+T$24*E$7+T$25*E$8+T$26*E$9+T$20*E$3+T$28*E$11+E$12*T$29+E$13*T$30+B16*T$31+B19*T$32</f>
        <v>4139616.3474845975</v>
      </c>
      <c r="J10" s="87">
        <f t="shared" si="3"/>
        <v>1</v>
      </c>
      <c r="K10" s="45" t="s">
        <v>72</v>
      </c>
      <c r="L10" s="4">
        <v>0.05</v>
      </c>
      <c r="M10" s="83">
        <f t="shared" si="4"/>
        <v>0.10555555555555556</v>
      </c>
      <c r="N10" s="83">
        <f t="shared" si="14"/>
        <v>5.2777777777777778E-2</v>
      </c>
      <c r="O10" s="4">
        <f t="shared" si="5"/>
        <v>0</v>
      </c>
      <c r="P10" s="4">
        <f t="shared" si="6"/>
        <v>0.14074074074074072</v>
      </c>
      <c r="Q10" s="4">
        <f t="shared" si="7"/>
        <v>0.15833333333333333</v>
      </c>
      <c r="R10" s="4">
        <f t="shared" si="8"/>
        <v>3.518518518518518E-2</v>
      </c>
      <c r="S10" s="4">
        <f t="shared" si="9"/>
        <v>5.2777777777777778E-2</v>
      </c>
      <c r="T10" s="71"/>
      <c r="U10" s="4">
        <f t="shared" si="11"/>
        <v>3.518518518518518E-2</v>
      </c>
      <c r="V10" s="4">
        <f t="shared" si="12"/>
        <v>0.21111111111111111</v>
      </c>
      <c r="W10" s="4">
        <f t="shared" si="13"/>
        <v>0.15833333333333333</v>
      </c>
      <c r="X10" s="75"/>
      <c r="Y10" s="99" t="s">
        <v>72</v>
      </c>
      <c r="Z10" s="85"/>
      <c r="AA10" s="112">
        <f>Proposition!S$24+Proposition!S$29+Proposition!S$31+Proposition!S$33+Proposition!S$43</f>
        <v>-1</v>
      </c>
      <c r="AB10" s="112">
        <f>Proposition!S$24+Proposition!S$29+Proposition!S$31+Proposition!S$33+Proposition!S$36+Proposition!S$40+Proposition!S$42</f>
        <v>-4</v>
      </c>
      <c r="AC10" s="85">
        <f>Proposition!S$27+Proposition!S$29+Proposition!S$31+Proposition!S$33+Proposition!S$42</f>
        <v>-7</v>
      </c>
      <c r="AD10" s="85">
        <f>Proposition!S$24+Proposition!S$28+Proposition!S$31+Proposition!S$37</f>
        <v>1</v>
      </c>
      <c r="AE10" s="85">
        <f>Proposition!S$24+Proposition!S$28+Proposition!S$31</f>
        <v>2</v>
      </c>
      <c r="AF10" s="85">
        <f>Proposition!S$27+Proposition!S$29+Proposition!S$31+Proposition!S$41</f>
        <v>-5</v>
      </c>
      <c r="AG10" s="85">
        <f>Proposition!S$27+Proposition!S$29+Proposition!S$31</f>
        <v>-4</v>
      </c>
      <c r="AH10" s="85"/>
      <c r="AI10" s="85">
        <f>Proposition!S$27+Proposition!S$29+Proposition!S$31+Proposition!S$41</f>
        <v>-5</v>
      </c>
      <c r="AJ10" s="85">
        <f>Proposition!S$24*2+Proposition!S$25+Proposition!S$28+Proposition!S$30+Proposition!S$36</f>
        <v>5</v>
      </c>
      <c r="AK10" s="85">
        <f>Proposition!S$24+Proposition!S$28+Proposition!S$31</f>
        <v>2</v>
      </c>
      <c r="AL10" s="86">
        <f>SUM(AA10-MIN(AA10:AK10),AB10-MIN(AA10:AK10),AC10-MIN(AA10:AK10),AD10-MIN(AA10:AK10),AE10-MIN(AA10:AK10),AF10-MIN(AA10:AK10),AG10-MIN(AA10:AK10),AI10-MIN(AA10:AK10),AJ10-MIN(AA10:AK10),AK10-MIN(AA10:AK10))+((L10*SUM(AA10-MIN(AA10:AK10),AB10-MIN(AA10:AK10),AC10-MIN(AA10:AK10),AD10-MIN(AA10:AK10),AE10-MIN(AA10:AK10),AF10-MIN(AA10:AK10),AG10-MIN(AA10:AK10),AI10-MIN(AA10:AK10),AJ10-MIN(AA10:AK10),AK10-MIN(AA10:AK10)))/(1-L10))</f>
        <v>56.842105263157897</v>
      </c>
      <c r="AM10" s="99"/>
    </row>
    <row r="11" spans="1:39" x14ac:dyDescent="0.25">
      <c r="A11" s="130"/>
      <c r="B11" t="s">
        <v>73</v>
      </c>
      <c r="D11" s="46" t="s">
        <v>74</v>
      </c>
      <c r="E11" s="153">
        <v>332547</v>
      </c>
      <c r="F11" s="120">
        <f t="shared" si="1"/>
        <v>9.2234805000466803E-3</v>
      </c>
      <c r="G11" s="13">
        <f t="shared" ca="1" si="2"/>
        <v>12.430105034704166</v>
      </c>
      <c r="H11" s="20">
        <f>E11+U$4*E$4+U$5*E$5+U$6*E$6+U$7*E$7+U$8*E$8+U$9*E$9+U$10*E$10+U$3*E$3+E$12*U$12+E$13*U$13</f>
        <v>2105116.5529464292</v>
      </c>
      <c r="I11" s="67">
        <f ca="1">U$21*E$4+U$22*E$5+U$23*E$6+U$24*E$7+U$25*E$8+U$26*E$9+U$27*E$10+U$20*E$3+E$12*U$29+E$13*U$30+B16*U$31+B19*U$32</f>
        <v>3879477.2226420562</v>
      </c>
      <c r="J11" s="87">
        <f t="shared" si="3"/>
        <v>1</v>
      </c>
      <c r="K11" s="46" t="s">
        <v>74</v>
      </c>
      <c r="L11" s="4">
        <v>0.03</v>
      </c>
      <c r="M11" s="83">
        <f t="shared" si="4"/>
        <v>0.17117647058823529</v>
      </c>
      <c r="N11" s="83">
        <f t="shared" si="14"/>
        <v>0.17117647058823529</v>
      </c>
      <c r="O11" s="4">
        <f t="shared" si="5"/>
        <v>8.5588235294117646E-2</v>
      </c>
      <c r="P11" s="4">
        <f t="shared" si="6"/>
        <v>0.11411764705882352</v>
      </c>
      <c r="Q11" s="4">
        <f t="shared" si="7"/>
        <v>2.852941176470588E-2</v>
      </c>
      <c r="R11" s="4">
        <f t="shared" si="8"/>
        <v>0.11411764705882352</v>
      </c>
      <c r="S11" s="4">
        <f t="shared" si="9"/>
        <v>0.1426470588235294</v>
      </c>
      <c r="T11" s="4">
        <f t="shared" si="10"/>
        <v>0</v>
      </c>
      <c r="U11" s="71"/>
      <c r="V11" s="4">
        <f t="shared" si="12"/>
        <v>0</v>
      </c>
      <c r="W11" s="4">
        <f t="shared" si="13"/>
        <v>0.1426470588235294</v>
      </c>
      <c r="X11" s="75"/>
      <c r="Y11" s="99" t="s">
        <v>74</v>
      </c>
      <c r="Z11" s="85"/>
      <c r="AA11" s="112">
        <f>Proposition!S$26+Proposition!S$28+Proposition!S$31+Proposition!S$43</f>
        <v>0</v>
      </c>
      <c r="AB11" s="112">
        <f>Proposition!S$27+Proposition!S$28+Proposition!S$34+Proposition!S$40+Proposition!S$42</f>
        <v>0</v>
      </c>
      <c r="AC11" s="85">
        <f>Proposition!S$27+Proposition!S$31+Proposition!S$42</f>
        <v>-3</v>
      </c>
      <c r="AD11" s="85">
        <f>Proposition!S$24+Proposition!S$29+Proposition!S$31+Proposition!S$37</f>
        <v>-2</v>
      </c>
      <c r="AE11" s="85">
        <f>Proposition!S$26+Proposition!S$29+Proposition!S$31</f>
        <v>-5</v>
      </c>
      <c r="AF11" s="85">
        <f>Proposition!S$27+Proposition!S$28+Proposition!S$31+Proposition!S$41</f>
        <v>-2</v>
      </c>
      <c r="AG11" s="85">
        <f>Proposition!S$27+Proposition!S$28+Proposition!S$31</f>
        <v>-1</v>
      </c>
      <c r="AH11" s="85">
        <f>Proposition!S$27+Proposition!S$29+Proposition!S$31+Proposition!S$35</f>
        <v>-6</v>
      </c>
      <c r="AI11" s="85"/>
      <c r="AJ11" s="85">
        <f>Proposition!S$27+Proposition!S$29+Proposition!S$31+Proposition!S$35</f>
        <v>-6</v>
      </c>
      <c r="AK11" s="85">
        <f>Proposition!S$24+Proposition!S$29+Proposition!S$31</f>
        <v>-1</v>
      </c>
      <c r="AL11" s="86">
        <f>SUM(AA11-MIN(AA11:AK11),AB11-MIN(AA11:AK11),AC11-MIN(AA11:AK11),AD11-MIN(AA11:AK11),AE11-MIN(AA11:AK11),AF11-MIN(AA11:AK11),AG11-MIN(AA11:AK11),AH11-MIN(AA11:AK11),AJ11-MIN(AA11:AK11),AK11-MIN(AA11:AK11))+((L11*SUM(AA11-MIN(AA11:AK11),AB11-MIN(AA11:AK11),AC11-MIN(AA11:AK11),AD11-MIN(AA11:AK11),AE11-MIN(AA11:AK11),AF11-MIN(AA11:AK11),AG11-MIN(AA11:AK11),AH11-MIN(AA11:AK11),AJ11-MIN(AA11:AK11),AK11-MIN(AA11:AK11)))/(1-L11))</f>
        <v>35.051546391752581</v>
      </c>
      <c r="AM11" s="99"/>
    </row>
    <row r="12" spans="1:39" x14ac:dyDescent="0.25">
      <c r="A12" s="130"/>
      <c r="B12" t="s">
        <v>75</v>
      </c>
      <c r="D12" s="45" t="s">
        <v>76</v>
      </c>
      <c r="E12" s="153">
        <v>232384</v>
      </c>
      <c r="F12" s="120">
        <f t="shared" si="1"/>
        <v>6.4453725113227528E-3</v>
      </c>
      <c r="G12" s="13">
        <f t="shared" ca="1" si="2"/>
        <v>8.2249245668626365</v>
      </c>
      <c r="H12" s="20">
        <f>E12+V$4*E$4+V$5*E$5+V$6*E$6+V$7*E$7+V$8*E$8+V$9*E$9+V$10*E$10+V$11*E$11+E$3*V$3+E$13*V$13</f>
        <v>1739473.8805717297</v>
      </c>
      <c r="I12" s="67">
        <f ca="1">V$21*E$4+V$22*E$5+V$23*E$6+V$24*E$7+V$25*E$8+V$26*E$9+V$27*E$10+V$28*E$11+E$3*V$20+E$13*V$30+B16*V$31+B19*V$32</f>
        <v>4126416.4074845975</v>
      </c>
      <c r="J12" s="87">
        <f t="shared" si="3"/>
        <v>0.99999999999999989</v>
      </c>
      <c r="K12" s="45" t="s">
        <v>76</v>
      </c>
      <c r="L12" s="4">
        <v>0.02</v>
      </c>
      <c r="M12" s="83">
        <f t="shared" si="4"/>
        <v>0.14699999999999999</v>
      </c>
      <c r="N12" s="83">
        <f t="shared" si="14"/>
        <v>7.3499999999999996E-2</v>
      </c>
      <c r="O12" s="4">
        <f t="shared" si="5"/>
        <v>0</v>
      </c>
      <c r="P12" s="4">
        <f t="shared" si="6"/>
        <v>0.14699999999999999</v>
      </c>
      <c r="Q12" s="4">
        <f t="shared" si="7"/>
        <v>0.17150000000000001</v>
      </c>
      <c r="R12" s="4">
        <f t="shared" si="8"/>
        <v>0</v>
      </c>
      <c r="S12" s="4">
        <f t="shared" si="9"/>
        <v>2.4500000000000001E-2</v>
      </c>
      <c r="T12" s="4">
        <f t="shared" si="10"/>
        <v>0.245</v>
      </c>
      <c r="U12" s="4">
        <f t="shared" si="11"/>
        <v>0</v>
      </c>
      <c r="V12" s="71"/>
      <c r="W12" s="4">
        <f t="shared" si="13"/>
        <v>0.17150000000000001</v>
      </c>
      <c r="X12" s="75"/>
      <c r="Y12" s="99" t="s">
        <v>76</v>
      </c>
      <c r="Z12" s="85"/>
      <c r="AA12" s="112">
        <f>Proposition!S$24+Proposition!S$29+Proposition!S$31+Proposition!S$43</f>
        <v>1</v>
      </c>
      <c r="AB12" s="112">
        <f>Proposition!S$24+Proposition!S$29+Proposition!S$31+Proposition!S$36+Proposition!S$40+Proposition!S$42</f>
        <v>-2</v>
      </c>
      <c r="AC12" s="85">
        <f>Proposition!S$27+Proposition!S$29+Proposition!S$31+Proposition!S$42</f>
        <v>-5</v>
      </c>
      <c r="AD12" s="85">
        <f>Proposition!S$24+Proposition!S$28+Proposition!S$31+Proposition!S$37</f>
        <v>1</v>
      </c>
      <c r="AE12" s="85">
        <f>Proposition!S$24+Proposition!S$28+Proposition!S$31</f>
        <v>2</v>
      </c>
      <c r="AF12" s="85">
        <f>Proposition!S$27+Proposition!S$29+Proposition!S$31+Proposition!S$41</f>
        <v>-5</v>
      </c>
      <c r="AG12" s="85">
        <f>Proposition!S$27+Proposition!S$29+Proposition!S$31</f>
        <v>-4</v>
      </c>
      <c r="AH12" s="85">
        <f>Proposition!S$24*2+Proposition!S$25+Proposition!S$28+Proposition!S$30+Proposition!S$36</f>
        <v>5</v>
      </c>
      <c r="AI12" s="85">
        <f>Proposition!S$27+Proposition!S$29+Proposition!S$31+Proposition!S$41</f>
        <v>-5</v>
      </c>
      <c r="AJ12" s="85"/>
      <c r="AK12" s="85">
        <f>Proposition!S$24+Proposition!S$28+Proposition!S$31</f>
        <v>2</v>
      </c>
      <c r="AL12" s="86">
        <f>SUM(AA12-MIN(AA12:AK12),AB12-MIN(AA12:AK12),AC12-MIN(AA12:AK12),AD12-MIN(AA12:AK12),AE12-MIN(AA12:AK12),AF12-MIN(AA12:AK12),AG12-MIN(AA12:AK12),AH12-MIN(AA12:AK12),AI12-MIN(AA12:AK12),AK12-MIN(AA12:AK12))+((L12*SUM(AA12-MIN(AA12:AK12),AB12-MIN(AA12:AK12),AC12-MIN(AA12:AK12),AD12-MIN(AA12:AK12),AE12-MIN(AA12:AK12),AF12-MIN(AA12:AK12),AG12-MIN(AA12:AK12),AH12-MIN(AA12:AK12),AI12-MIN(AA12:AK12),AK12-MIN(AA12:AK12)))/(1-L12))</f>
        <v>40.816326530612244</v>
      </c>
      <c r="AM12" s="99"/>
    </row>
    <row r="13" spans="1:39" ht="15.75" thickBot="1" x14ac:dyDescent="0.3">
      <c r="A13" s="130"/>
      <c r="B13" t="s">
        <v>77</v>
      </c>
      <c r="D13" s="45" t="s">
        <v>78</v>
      </c>
      <c r="E13" s="153">
        <v>65586</v>
      </c>
      <c r="F13" s="120">
        <f t="shared" si="1"/>
        <v>1.8190847972649326E-3</v>
      </c>
      <c r="G13" s="14">
        <f ca="1">(H13-I13/(COUNTA(B$3:B$11)/2))/100000</f>
        <v>7.8770622490527025</v>
      </c>
      <c r="H13" s="20">
        <f>E13+W$4*E$4+W$5*E$5+W$6*E$6+W$7*E$7+W$8*E$8+W$9*E$9+W$10*E$10+W$11*E$11+E$12*W$12+E$3*W$3</f>
        <v>1623900.0670399449</v>
      </c>
      <c r="I13" s="67">
        <f ca="1">W$21*E$4+W$22*E$5+W$23*E$6+W$24*E$7+W$25*E$8+W$26*E$9+W$27*E$10+W$28*E$11+E$12*W$29+E$3*W$20+B16*W$31+B19*W$32</f>
        <v>3762872.2896060362</v>
      </c>
      <c r="J13" s="87">
        <f t="shared" si="3"/>
        <v>0.99999999999999989</v>
      </c>
      <c r="K13" s="45" t="s">
        <v>78</v>
      </c>
      <c r="L13" s="4">
        <v>0.01</v>
      </c>
      <c r="M13" s="83">
        <f t="shared" si="4"/>
        <v>5.6571428571428564E-2</v>
      </c>
      <c r="N13" s="83">
        <f t="shared" si="14"/>
        <v>0</v>
      </c>
      <c r="O13" s="4">
        <f t="shared" si="5"/>
        <v>0</v>
      </c>
      <c r="P13" s="4">
        <f t="shared" si="6"/>
        <v>0.11314285714285713</v>
      </c>
      <c r="Q13" s="4">
        <f t="shared" si="7"/>
        <v>0.1414285714285714</v>
      </c>
      <c r="R13" s="4">
        <f t="shared" si="8"/>
        <v>8.4857142857142853E-2</v>
      </c>
      <c r="S13" s="4">
        <f t="shared" si="9"/>
        <v>0.16971428571428571</v>
      </c>
      <c r="T13" s="4">
        <f t="shared" si="10"/>
        <v>0.16971428571428571</v>
      </c>
      <c r="U13" s="4">
        <f t="shared" si="11"/>
        <v>8.4857142857142853E-2</v>
      </c>
      <c r="V13" s="4">
        <f t="shared" si="12"/>
        <v>0.16971428571428571</v>
      </c>
      <c r="W13" s="71"/>
      <c r="X13" s="75"/>
      <c r="Y13" s="99" t="s">
        <v>78</v>
      </c>
      <c r="Z13" s="85"/>
      <c r="AA13" s="112">
        <f>Proposition!S$26+Proposition!S$29+Proposition!S$31+Proposition!S$43</f>
        <v>-3</v>
      </c>
      <c r="AB13" s="112">
        <f>Proposition!S$27+Proposition!S$29+Proposition!S$31+Proposition!S$35+Proposition!S$40+Proposition!S$42</f>
        <v>-5</v>
      </c>
      <c r="AC13" s="85">
        <f>Proposition!S$27+Proposition!S$29+Proposition!S$31+Proposition!S$42</f>
        <v>-5</v>
      </c>
      <c r="AD13" s="85">
        <f>Proposition!S$24+Proposition!S$26+Proposition!S$28+Proposition!S$31+Proposition!S$37</f>
        <v>-1</v>
      </c>
      <c r="AE13" s="85">
        <f>Proposition!S$24+Proposition!S$26+Proposition!S$28+Proposition!S$31</f>
        <v>0</v>
      </c>
      <c r="AF13" s="85">
        <f>Proposition!S$24+Proposition!S$29+Proposition!S$31+Proposition!S$41</f>
        <v>-2</v>
      </c>
      <c r="AG13" s="85">
        <f>Proposition!S$24*2+Proposition!S$29+Proposition!S$31</f>
        <v>1</v>
      </c>
      <c r="AH13" s="85">
        <f>Proposition!S$24+Proposition!S$28+Proposition!S$31+Proposition!S$34</f>
        <v>1</v>
      </c>
      <c r="AI13" s="85">
        <f>Proposition!S$24+Proposition!S$29+Proposition!S$31+Proposition!S$41</f>
        <v>-2</v>
      </c>
      <c r="AJ13" s="85">
        <f>Proposition!S$24+Proposition!S$28+Proposition!S$31+Proposition!S$34</f>
        <v>1</v>
      </c>
      <c r="AK13" s="85"/>
      <c r="AL13" s="86">
        <f>SUM(AA13-MIN(AA13:AK13),AB13-MIN(AA13:AK13),AC13-MIN(AA13:AK13),AD13-MIN(AA13:AK13),AE13-MIN(AA13:AK13),AF13-MIN(AA13:AK13),AG13-MIN(AA13:AK13),AH13-MIN(AA13:AK13),AI13-MIN(AA13:AK13),AJ13-MIN(AA13:AK13))+((L13*SUM(AA13-MIN(AA13:AK13),AB13-MIN(AA13:AK13),AC13-MIN(AA13:AK13),AD13-MIN(AA13:AK13),AE13-MIN(AA13:AK13),AF13-MIN(AA13:AK13),AG13-MIN(AA13:AK13),AH13-MIN(AA13:AK13),AI13-MIN(AA13:AK13),AJ13-MIN(AA13:AK13)))/(1-L13))</f>
        <v>35.353535353535356</v>
      </c>
      <c r="AM13" s="99"/>
    </row>
    <row r="14" spans="1:39" x14ac:dyDescent="0.25">
      <c r="H14" s="20"/>
      <c r="I14" s="67"/>
      <c r="J14" s="87"/>
      <c r="L14" s="4"/>
      <c r="M14" s="83"/>
      <c r="N14" s="83"/>
      <c r="O14" s="4"/>
      <c r="P14" s="4"/>
      <c r="Q14" s="4"/>
      <c r="R14" s="4"/>
      <c r="S14" s="4"/>
      <c r="T14" s="4"/>
      <c r="U14" s="4"/>
      <c r="V14" s="4"/>
      <c r="W14" s="4"/>
      <c r="X14" s="75"/>
      <c r="Y14" s="99"/>
      <c r="Z14" s="85"/>
      <c r="AA14" s="112"/>
      <c r="AB14" s="112"/>
      <c r="AC14" s="85"/>
      <c r="AD14" s="85"/>
      <c r="AE14" s="85"/>
      <c r="AF14" s="85"/>
      <c r="AG14" s="85"/>
      <c r="AH14" s="85"/>
      <c r="AI14" s="85"/>
      <c r="AJ14" s="85"/>
      <c r="AK14" s="85"/>
      <c r="AL14" s="99"/>
      <c r="AM14" s="99"/>
    </row>
    <row r="15" spans="1:39" x14ac:dyDescent="0.25">
      <c r="A15" s="1" t="s">
        <v>79</v>
      </c>
      <c r="B15" s="152">
        <v>36054394</v>
      </c>
      <c r="H15" s="20"/>
      <c r="I15" s="67"/>
      <c r="J15" s="87"/>
      <c r="K15" t="s">
        <v>136</v>
      </c>
      <c r="L15" s="4"/>
      <c r="M15" s="83">
        <f>AVERAGE(M5:M13)</f>
        <v>0.12701955095060724</v>
      </c>
      <c r="N15" s="83">
        <f>AVERAGE(N5:N13)</f>
        <v>9.4884630315686613E-2</v>
      </c>
      <c r="O15" s="4"/>
      <c r="P15" s="4"/>
      <c r="Q15" s="4"/>
      <c r="R15" s="4"/>
      <c r="S15" s="4"/>
      <c r="T15" s="4"/>
      <c r="U15" s="4"/>
      <c r="V15" s="4"/>
      <c r="W15" s="4"/>
      <c r="X15" s="75"/>
      <c r="Y15" s="99"/>
      <c r="Z15" s="85"/>
      <c r="AA15" s="112"/>
      <c r="AB15" s="112"/>
      <c r="AC15" s="85"/>
      <c r="AD15" s="85"/>
      <c r="AE15" s="85"/>
      <c r="AF15" s="85"/>
      <c r="AG15" s="85"/>
      <c r="AH15" s="85"/>
      <c r="AI15" s="85"/>
      <c r="AJ15" s="85"/>
      <c r="AK15" s="85"/>
      <c r="AL15" s="99"/>
      <c r="AM15" s="99"/>
    </row>
    <row r="16" spans="1:39" x14ac:dyDescent="0.25">
      <c r="A16" t="s">
        <v>80</v>
      </c>
      <c r="B16" s="25">
        <v>659997</v>
      </c>
      <c r="H16" s="20"/>
      <c r="I16" s="67"/>
      <c r="J16" s="87"/>
      <c r="L16" s="4"/>
      <c r="M16" s="84" t="s">
        <v>157</v>
      </c>
      <c r="N16" s="84" t="s">
        <v>158</v>
      </c>
      <c r="O16" s="4"/>
      <c r="P16" s="4"/>
      <c r="Q16" s="4"/>
      <c r="R16" s="4"/>
      <c r="S16" s="4"/>
      <c r="T16" s="4"/>
      <c r="U16" s="4"/>
      <c r="V16" s="4"/>
      <c r="W16" s="4"/>
      <c r="X16" s="75"/>
      <c r="Y16" s="99"/>
      <c r="Z16" s="85"/>
      <c r="AA16" s="112"/>
      <c r="AB16" s="112"/>
      <c r="AC16" s="85"/>
      <c r="AD16" s="85"/>
      <c r="AE16" s="85"/>
      <c r="AF16" s="85"/>
      <c r="AG16" s="85"/>
      <c r="AH16" s="85"/>
      <c r="AI16" s="85"/>
      <c r="AJ16" s="85"/>
      <c r="AK16" s="85"/>
      <c r="AL16" s="99"/>
      <c r="AM16" s="99"/>
    </row>
    <row r="17" spans="1:39" x14ac:dyDescent="0.25">
      <c r="A17" t="s">
        <v>81</v>
      </c>
      <c r="B17" s="25">
        <v>289337</v>
      </c>
      <c r="H17" s="20"/>
      <c r="I17" s="67"/>
      <c r="J17" s="87"/>
      <c r="L17" s="4"/>
      <c r="M17" s="4"/>
      <c r="N17" s="4"/>
      <c r="O17" s="4"/>
      <c r="P17" s="4"/>
      <c r="Q17" s="4"/>
      <c r="R17" s="4"/>
      <c r="S17" s="4"/>
      <c r="T17" s="4"/>
      <c r="U17" s="4"/>
      <c r="V17" s="4"/>
      <c r="W17" s="4"/>
      <c r="X17" s="75"/>
      <c r="Y17" s="99"/>
      <c r="Z17" s="85"/>
      <c r="AA17" s="85"/>
      <c r="AB17" s="85"/>
      <c r="AC17" s="85"/>
      <c r="AD17" s="85"/>
      <c r="AE17" s="85"/>
      <c r="AF17" s="85"/>
      <c r="AG17" s="85"/>
      <c r="AH17" s="85"/>
      <c r="AI17" s="85"/>
      <c r="AJ17" s="85"/>
      <c r="AK17" s="85"/>
      <c r="AL17" s="99"/>
      <c r="AM17" s="99"/>
    </row>
    <row r="18" spans="1:39" x14ac:dyDescent="0.25">
      <c r="A18" s="1" t="s">
        <v>82</v>
      </c>
      <c r="B18" s="62">
        <v>37003728</v>
      </c>
      <c r="H18" s="20"/>
      <c r="I18" s="67"/>
      <c r="J18" s="87"/>
      <c r="L18" s="4"/>
      <c r="M18" s="4"/>
      <c r="N18" s="4"/>
      <c r="O18" s="4"/>
      <c r="P18" s="4"/>
      <c r="Q18" s="4"/>
      <c r="R18" s="4"/>
      <c r="S18" s="4"/>
      <c r="T18" s="4"/>
      <c r="U18" s="4"/>
      <c r="V18" s="4"/>
      <c r="W18" s="4"/>
      <c r="X18" s="75"/>
      <c r="Y18" s="99"/>
      <c r="Z18" s="85"/>
      <c r="AA18" s="85"/>
      <c r="AB18" s="85"/>
      <c r="AC18" s="85"/>
      <c r="AD18" s="85"/>
      <c r="AE18" s="85"/>
      <c r="AF18" s="85"/>
      <c r="AG18" s="85"/>
      <c r="AH18" s="85"/>
      <c r="AI18" s="85"/>
      <c r="AJ18" s="85"/>
      <c r="AK18" s="85"/>
      <c r="AL18" s="99"/>
      <c r="AM18" s="99"/>
    </row>
    <row r="19" spans="1:39" x14ac:dyDescent="0.25">
      <c r="A19" t="s">
        <v>15</v>
      </c>
      <c r="B19" s="25">
        <v>10578455</v>
      </c>
      <c r="J19" s="87"/>
      <c r="L19" s="69"/>
      <c r="M19" s="63"/>
      <c r="N19" s="47"/>
      <c r="O19" s="46"/>
      <c r="P19" s="45"/>
      <c r="Q19" s="45"/>
      <c r="R19" s="46"/>
      <c r="S19" s="46"/>
      <c r="T19" s="45"/>
      <c r="U19" s="46"/>
      <c r="V19" s="45"/>
      <c r="W19" s="45"/>
      <c r="Y19" s="99"/>
      <c r="Z19" s="99"/>
      <c r="AA19" s="99"/>
      <c r="AB19" s="99"/>
      <c r="AC19" s="99"/>
      <c r="AD19" s="99"/>
      <c r="AE19" s="99"/>
      <c r="AF19" s="99"/>
      <c r="AG19" s="99"/>
      <c r="AH19" s="99"/>
      <c r="AI19" s="99"/>
      <c r="AJ19" s="99"/>
      <c r="AK19" s="99"/>
      <c r="AL19" s="99"/>
      <c r="AM19" s="99"/>
    </row>
    <row r="20" spans="1:39" x14ac:dyDescent="0.25">
      <c r="A20" s="1" t="s">
        <v>83</v>
      </c>
      <c r="B20" s="152">
        <v>47582183</v>
      </c>
      <c r="J20" s="87">
        <f t="shared" ca="1" si="3"/>
        <v>1</v>
      </c>
      <c r="K20" s="63" t="s">
        <v>59</v>
      </c>
      <c r="L20" s="4">
        <f ca="1">RANDBETWEEN(5,10)/100</f>
        <v>0.09</v>
      </c>
      <c r="M20" s="70"/>
      <c r="N20" s="4">
        <f t="shared" ref="N20:W20" ca="1" si="15">(AC20-MIN($AB20:$AL20))/$AM20</f>
        <v>6.5000000000000002E-2</v>
      </c>
      <c r="O20" s="4">
        <f t="shared" ca="1" si="15"/>
        <v>8.666666666666667E-2</v>
      </c>
      <c r="P20" s="4">
        <f t="shared" ca="1" si="15"/>
        <v>0.17333333333333334</v>
      </c>
      <c r="Q20" s="4">
        <f t="shared" ca="1" si="15"/>
        <v>0</v>
      </c>
      <c r="R20" s="4">
        <f t="shared" ca="1" si="15"/>
        <v>8.666666666666667E-2</v>
      </c>
      <c r="S20" s="4">
        <f t="shared" ca="1" si="15"/>
        <v>4.3333333333333335E-2</v>
      </c>
      <c r="T20" s="4">
        <f t="shared" ca="1" si="15"/>
        <v>0.10833333333333334</v>
      </c>
      <c r="U20" s="4">
        <f t="shared" ca="1" si="15"/>
        <v>0.10833333333333334</v>
      </c>
      <c r="V20" s="4">
        <f t="shared" ca="1" si="15"/>
        <v>0.10833333333333334</v>
      </c>
      <c r="W20" s="4">
        <f t="shared" ca="1" si="15"/>
        <v>0.13</v>
      </c>
      <c r="X20" s="75"/>
      <c r="Y20" s="116"/>
      <c r="Z20" s="99" t="s">
        <v>59</v>
      </c>
      <c r="AA20" s="85"/>
      <c r="AB20" s="85"/>
      <c r="AC20" s="85">
        <f>Proposition!T$24*2+Proposition!T$28+Proposition!T$31+Proposition!T$34+Proposition!T$38+Proposition!T$40+Proposition!T$42</f>
        <v>3</v>
      </c>
      <c r="AD20" s="85">
        <f>Proposition!T$24+Proposition!T$31+Proposition!T$38+Proposition!T$42</f>
        <v>4</v>
      </c>
      <c r="AE20" s="85">
        <f>Proposition!T$24+Proposition!T$26+Proposition!T$29+Proposition!T$31+Proposition!T$37+Proposition!T$38</f>
        <v>8</v>
      </c>
      <c r="AF20" s="85">
        <f>Proposition!T$24*4+Proposition!T$29+Proposition!T$31</f>
        <v>0</v>
      </c>
      <c r="AG20" s="85">
        <f>Proposition!T$24+Proposition!T$26+Proposition!T$28+Proposition!T$31+Proposition!T$41</f>
        <v>4</v>
      </c>
      <c r="AH20" s="85">
        <f>Proposition!T$27+Proposition!T$28+Proposition!T$31</f>
        <v>2</v>
      </c>
      <c r="AI20" s="85">
        <f>Proposition!T$24+Proposition!T$29+Proposition!T$31+Proposition!T$35</f>
        <v>5</v>
      </c>
      <c r="AJ20" s="85">
        <f>Proposition!T$26+Proposition!T$28+Proposition!T$31+Proposition!T$41</f>
        <v>5</v>
      </c>
      <c r="AK20" s="85">
        <f>Proposition!T$24+Proposition!T$29+Proposition!T$31+Proposition!T$35</f>
        <v>5</v>
      </c>
      <c r="AL20" s="85">
        <f>Proposition!T$26+Proposition!T$29+Proposition!T$31</f>
        <v>6</v>
      </c>
      <c r="AM20" s="99">
        <f ca="1">SUM(AC20-MIN(AB20:AL20),AD20-MIN(AB20:AL20),AE20-MIN(AB20:AL20),AF20-MIN(AB20:AL20),AG20-MIN(AB20:AL20),AH20-MIN(AB20:AL20),AI20-MIN(AB20:AL20),AJ20-MIN(AB20:AL20),AK20-MIN(AB20:AL20),AL20-MIN(AB20:AL20))+((L20*SUM(AC20-MIN(AB20:AL20),AD20-MIN(AB20:AL20),AE20-MIN(AB20:AL20),AF20-MIN(AB20:AL20),AG20-MIN(AB20:AL20),AH20-MIN(AB20:AL20),AI20-MIN(AB20:AL20),AJ20-MIN(AB20:AL20),AK20-MIN(AB20:AL20),AL20-MIN(AB20:AL20)))/(1-L20))</f>
        <v>46.153846153846153</v>
      </c>
    </row>
    <row r="21" spans="1:39" x14ac:dyDescent="0.25">
      <c r="J21" s="87">
        <f t="shared" ca="1" si="3"/>
        <v>0.99999999999999989</v>
      </c>
      <c r="K21" s="47" t="s">
        <v>60</v>
      </c>
      <c r="L21" s="4">
        <f t="shared" ref="L21:L30" ca="1" si="16">RANDBETWEEN(5,10)/100</f>
        <v>0.08</v>
      </c>
      <c r="M21" s="4">
        <f t="shared" ref="M21:M30" ca="1" si="17">(AB21-MIN($AB21:$AL21))/$AM21</f>
        <v>0</v>
      </c>
      <c r="N21" s="71"/>
      <c r="O21" s="4">
        <f t="shared" ref="O21:W21" ca="1" si="18">(AD21-MIN($AB21:$AL21))/$AM21</f>
        <v>0.11794871794871795</v>
      </c>
      <c r="P21" s="4">
        <f t="shared" ca="1" si="18"/>
        <v>0.16512820512820514</v>
      </c>
      <c r="Q21" s="4">
        <f t="shared" ca="1" si="18"/>
        <v>4.7179487179487181E-2</v>
      </c>
      <c r="R21" s="4">
        <f t="shared" ca="1" si="18"/>
        <v>2.3589743589743591E-2</v>
      </c>
      <c r="S21" s="4">
        <f t="shared" ca="1" si="18"/>
        <v>7.0769230769230765E-2</v>
      </c>
      <c r="T21" s="4">
        <f t="shared" ca="1" si="18"/>
        <v>0.14153846153846153</v>
      </c>
      <c r="U21" s="4">
        <f t="shared" ca="1" si="18"/>
        <v>7.0769230769230765E-2</v>
      </c>
      <c r="V21" s="4">
        <f t="shared" ca="1" si="18"/>
        <v>0.14153846153846153</v>
      </c>
      <c r="W21" s="4">
        <f t="shared" ca="1" si="18"/>
        <v>0.14153846153846153</v>
      </c>
      <c r="X21" s="75"/>
      <c r="Y21" s="116"/>
      <c r="Z21" s="99" t="s">
        <v>60</v>
      </c>
      <c r="AA21" s="85"/>
      <c r="AB21" s="85">
        <f>Proposition!T$24*2+Proposition!T$28+Proposition!T$31+Proposition!T$38+Proposition!T$43</f>
        <v>-1</v>
      </c>
      <c r="AC21" s="85"/>
      <c r="AD21" s="85">
        <f>Proposition!T$24+Proposition!T$31+Proposition!T$38+Proposition!T$42</f>
        <v>4</v>
      </c>
      <c r="AE21" s="85">
        <f>Proposition!T$24+Proposition!T$29+Proposition!T$31+Proposition!T$37+Proposition!T$38</f>
        <v>6</v>
      </c>
      <c r="AF21" s="85">
        <f>Proposition!T$24*3+Proposition!T$29+Proposition!T$31</f>
        <v>1</v>
      </c>
      <c r="AG21" s="85">
        <f>Proposition!T$24*2+Proposition!T$25+Proposition!T$28+Proposition!T$31+Proposition!T$41</f>
        <v>0</v>
      </c>
      <c r="AH21" s="85">
        <f>Proposition!T$27+Proposition!T$28+Proposition!T$31</f>
        <v>2</v>
      </c>
      <c r="AI21" s="85">
        <f>Proposition!T$24+Proposition!T$29+Proposition!T$31+Proposition!T$36</f>
        <v>5</v>
      </c>
      <c r="AJ21" s="85">
        <f>Proposition!T$27+Proposition!T$28+Proposition!T$41</f>
        <v>2</v>
      </c>
      <c r="AK21" s="85">
        <f>Proposition!T$24+Proposition!T$29+Proposition!T$31+Proposition!T$36</f>
        <v>5</v>
      </c>
      <c r="AL21" s="85">
        <f>Proposition!T$27+Proposition!T$29+Proposition!T$31</f>
        <v>5</v>
      </c>
      <c r="AM21" s="99">
        <f ca="1">SUM(AB21-MIN(AB21:AL21),AD21-MIN(AB21:AL21),AE21-MIN(AB21:AL21),AF21-MIN(AB21:AL21),AG21-MIN(AB21:AL21),AH21-MIN(AB21:AL21),AI21-MIN(AB21:AL21),AJ21-MIN(AB21:AL21),AK21-MIN(AB21:AL21),AL21-MIN(AB21:AL21))+((L21*SUM(AB21-MIN(AB21:AL21),AD21-MIN(AB21:AL21),AE21-MIN(AB21:AL21),AF21-MIN(AB21:AL21),AG21-MIN(AB21:AL21),AH21-MIN(AB21:AL21),AI21-MIN(AB21:AL21),AJ21-MIN(AB21:AL21),AK21-MIN(AB21:AL21),AL21-MIN(AB21:AL21)))/(1-L21))</f>
        <v>42.391304347826086</v>
      </c>
    </row>
    <row r="22" spans="1:39" x14ac:dyDescent="0.25">
      <c r="J22" s="87">
        <f t="shared" ca="1" si="3"/>
        <v>1</v>
      </c>
      <c r="K22" s="46" t="s">
        <v>62</v>
      </c>
      <c r="L22" s="4">
        <f t="shared" ca="1" si="16"/>
        <v>0.1</v>
      </c>
      <c r="M22" s="107">
        <f t="shared" ca="1" si="17"/>
        <v>3.1034482758620689E-2</v>
      </c>
      <c r="N22" s="107">
        <f t="shared" ref="N22:N30" ca="1" si="19">(AC22-MIN($AB22:$AL22))/$AM22</f>
        <v>9.3103448275862075E-2</v>
      </c>
      <c r="O22" s="71"/>
      <c r="P22" s="4">
        <f t="shared" ref="P22:W22" ca="1" si="20">(AE22-MIN($AB22:$AL22))/$AM22</f>
        <v>0.1706896551724138</v>
      </c>
      <c r="Q22" s="4">
        <f t="shared" ca="1" si="20"/>
        <v>7.7586206896551727E-2</v>
      </c>
      <c r="R22" s="4">
        <f t="shared" ca="1" si="20"/>
        <v>0</v>
      </c>
      <c r="S22" s="4">
        <f t="shared" ca="1" si="20"/>
        <v>6.2068965517241378E-2</v>
      </c>
      <c r="T22" s="4">
        <f t="shared" ca="1" si="20"/>
        <v>0.1396551724137931</v>
      </c>
      <c r="U22" s="4">
        <f t="shared" ca="1" si="20"/>
        <v>7.7586206896551727E-2</v>
      </c>
      <c r="V22" s="4">
        <f t="shared" ca="1" si="20"/>
        <v>0.1396551724137931</v>
      </c>
      <c r="W22" s="4">
        <f t="shared" ca="1" si="20"/>
        <v>0.10862068965517242</v>
      </c>
      <c r="X22" s="75"/>
      <c r="Y22" s="116"/>
      <c r="Z22" s="99" t="s">
        <v>62</v>
      </c>
      <c r="AA22" s="85"/>
      <c r="AB22" s="112">
        <f>Proposition!T$24+Proposition!T$28+Proposition!T$31+Proposition!T$38+Proposition!T$43</f>
        <v>0</v>
      </c>
      <c r="AC22" s="112">
        <f>Proposition!T$24+Proposition!T$28+Proposition!T$31+Proposition!T$34+Proposition!T$38+Proposition!T$40+Proposition!T$42</f>
        <v>4</v>
      </c>
      <c r="AD22" s="85"/>
      <c r="AE22" s="85">
        <f>Proposition!T$26+Proposition!T$29+Proposition!T$31+Proposition!T$37+Proposition!T$38</f>
        <v>9</v>
      </c>
      <c r="AF22" s="85">
        <f>Proposition!T$24+Proposition!T$29+Proposition!T$31</f>
        <v>3</v>
      </c>
      <c r="AG22" s="85">
        <f>Proposition!T$24*2+Proposition!T$28+Proposition!T$30+Proposition!T$41</f>
        <v>-2</v>
      </c>
      <c r="AH22" s="85">
        <f>Proposition!T$27+Proposition!T$28+Proposition!T$31</f>
        <v>2</v>
      </c>
      <c r="AI22" s="85">
        <f>Proposition!T$27+Proposition!T$29+Proposition!T$31+Proposition!T$35</f>
        <v>7</v>
      </c>
      <c r="AJ22" s="85">
        <f>+Proposition!T$28+Proposition!T$31+Proposition!T$41</f>
        <v>3</v>
      </c>
      <c r="AK22" s="85">
        <f>Proposition!T$27+Proposition!T$29+Proposition!T$31+Proposition!T$35</f>
        <v>7</v>
      </c>
      <c r="AL22" s="85">
        <f>Proposition!T$27+Proposition!T$29+Proposition!T$31</f>
        <v>5</v>
      </c>
      <c r="AM22" s="99">
        <f ca="1">SUM(AB22-MIN(AB22:AL22),AC22-MIN(AB22:AL22),AE22-MIN(AB22:AL22),AF22-MIN(AB22:AL22),AG22-MIN(AB22:AL22),AH22-MIN(AB22:AL22),AI22-MIN(AB22:AL22),AJ22-MIN(AB22:AL22),AK22-MIN(AB22:AL22),AL22-MIN(AB22:AL22))+((L22*SUM(AB22-MIN(AB22:AL22),AC22-MIN(AB22:AL22),AE22-MIN(AB22:AL22),AF22-MIN(AB22:AL22),AG22-MIN(AB22:AL22),AH22-MIN(AB22:AL22),AI22-MIN(AB22:AL22),AJ22-MIN(AB22:AL22),AK22-MIN(AB22:AL22),AL22-MIN(AB22:AL22)))/(1-L22))</f>
        <v>64.444444444444443</v>
      </c>
    </row>
    <row r="23" spans="1:39" x14ac:dyDescent="0.25">
      <c r="J23" s="87">
        <f t="shared" ca="1" si="3"/>
        <v>0.99999999999999989</v>
      </c>
      <c r="K23" s="45" t="s">
        <v>64</v>
      </c>
      <c r="L23" s="4">
        <f t="shared" ca="1" si="16"/>
        <v>0.09</v>
      </c>
      <c r="M23" s="107">
        <f t="shared" ca="1" si="17"/>
        <v>0.10581395348837208</v>
      </c>
      <c r="N23" s="107">
        <f t="shared" ca="1" si="19"/>
        <v>0.14813953488372092</v>
      </c>
      <c r="O23" s="4">
        <f t="shared" ref="O23:O30" ca="1" si="21">(AD23-MIN($AB23:$AL23))/$AM23</f>
        <v>0.19046511627906976</v>
      </c>
      <c r="P23" s="71"/>
      <c r="Q23" s="4">
        <f t="shared" ref="Q23:W23" ca="1" si="22">(AF23-MIN($AB23:$AL23))/$AM23</f>
        <v>0</v>
      </c>
      <c r="R23" s="4">
        <f t="shared" ca="1" si="22"/>
        <v>0.10581395348837208</v>
      </c>
      <c r="S23" s="4">
        <f t="shared" ca="1" si="22"/>
        <v>0.12697674418604651</v>
      </c>
      <c r="T23" s="4">
        <f t="shared" ca="1" si="22"/>
        <v>4.2325581395348838E-2</v>
      </c>
      <c r="U23" s="4">
        <f t="shared" ca="1" si="22"/>
        <v>0.10581395348837208</v>
      </c>
      <c r="V23" s="4">
        <f t="shared" ca="1" si="22"/>
        <v>4.2325581395348838E-2</v>
      </c>
      <c r="W23" s="4">
        <f t="shared" ca="1" si="22"/>
        <v>4.2325581395348838E-2</v>
      </c>
      <c r="X23" s="75"/>
      <c r="Y23" s="116"/>
      <c r="Z23" s="99" t="s">
        <v>64</v>
      </c>
      <c r="AA23" s="85"/>
      <c r="AB23" s="112">
        <f>Proposition!T$24+Proposition!T$26+Proposition!T$29+Proposition!T$31+Proposition!T$38+Proposition!T$43</f>
        <v>5</v>
      </c>
      <c r="AC23" s="112">
        <f>Proposition!T$24+Proposition!T$29+Proposition!T$31+Proposition!T$35+Proposition!T$38+Proposition!T$40+Proposition!T$42</f>
        <v>7</v>
      </c>
      <c r="AD23" s="85">
        <f>Proposition!T$26+Proposition!T$29+Proposition!T$31+Proposition!T$38+Proposition!T$42</f>
        <v>9</v>
      </c>
      <c r="AE23" s="85"/>
      <c r="AF23" s="85">
        <f>Proposition!T$24*3+Proposition!T$26+Proposition!T$28+Proposition!T$31</f>
        <v>0</v>
      </c>
      <c r="AG23" s="85">
        <f>Proposition!T$24+Proposition!T$29+Proposition!T$31+Proposition!T$41</f>
        <v>5</v>
      </c>
      <c r="AH23" s="85">
        <f>Proposition!T$26+Proposition!T$29+Proposition!T$31</f>
        <v>6</v>
      </c>
      <c r="AI23" s="85">
        <f>Proposition!T$24+Proposition!T$28+Proposition!T$31+Proposition!T$34</f>
        <v>2</v>
      </c>
      <c r="AJ23" s="85">
        <f>Proposition!T$24+Proposition!T$29+Proposition!T$31+Proposition!T$41</f>
        <v>5</v>
      </c>
      <c r="AK23" s="85">
        <f>Proposition!T$24+Proposition!T$28+Proposition!T$31+Proposition!T$34</f>
        <v>2</v>
      </c>
      <c r="AL23" s="85">
        <f>Proposition!T$24+Proposition!T$26+Proposition!T$28+Proposition!T$31</f>
        <v>2</v>
      </c>
      <c r="AM23" s="99">
        <f ca="1">SUM(AB23-MIN(AB23:AL23),AC23-MIN(AB23:AL23),AD23-MIN(AB23:AL23),AF23-MIN(AB23:AL23),AG23-MIN(AB23:AL23),AH23-MIN(AB23:AL23),AI23-MIN(AB23:AL23),AJ23-MIN(AB23:AL23),AK23-MIN(AB23:AL23),AL23-MIN(AB23:AL23))+((L23*SUM(AB23-MIN(AB23:AL23),AC23-MIN(AB23:AL23),AD23-MIN(AB23:AL23),AF23-MIN(AB23:AL23),AG23-MIN(AB23:AL23),AH23-MIN(AB23:AL23),AI23-MIN(AB23:AL23),AJ23-MIN(AB23:AL23),AK23-MIN(AB23:AL23),AL23-MIN(AB23:AL23)))/(1-L23))</f>
        <v>47.252747252747255</v>
      </c>
    </row>
    <row r="24" spans="1:39" x14ac:dyDescent="0.25">
      <c r="J24" s="87">
        <f t="shared" ca="1" si="3"/>
        <v>1</v>
      </c>
      <c r="K24" s="45" t="s">
        <v>66</v>
      </c>
      <c r="L24" s="4">
        <f t="shared" ca="1" si="16"/>
        <v>7.0000000000000007E-2</v>
      </c>
      <c r="M24" s="107">
        <f t="shared" ca="1" si="17"/>
        <v>0</v>
      </c>
      <c r="N24" s="107">
        <f t="shared" ca="1" si="19"/>
        <v>0.10813953488372094</v>
      </c>
      <c r="O24" s="4">
        <f t="shared" ca="1" si="21"/>
        <v>8.6511627906976751E-2</v>
      </c>
      <c r="P24" s="4">
        <f t="shared" ref="P24:P30" ca="1" si="23">(AE24-MIN($AB24:$AL24))/$AM24</f>
        <v>6.4883720930232563E-2</v>
      </c>
      <c r="Q24" s="71"/>
      <c r="R24" s="4">
        <f t="shared" ref="R24:W24" ca="1" si="24">(AG24-MIN($AB24:$AL24))/$AM24</f>
        <v>0.12976744186046513</v>
      </c>
      <c r="S24" s="4">
        <f t="shared" ca="1" si="24"/>
        <v>0.15139534883720931</v>
      </c>
      <c r="T24" s="4">
        <f t="shared" ca="1" si="24"/>
        <v>6.4883720930232563E-2</v>
      </c>
      <c r="U24" s="4">
        <f t="shared" ca="1" si="24"/>
        <v>0.19465116279069769</v>
      </c>
      <c r="V24" s="4">
        <f t="shared" ca="1" si="24"/>
        <v>6.4883720930232563E-2</v>
      </c>
      <c r="W24" s="4">
        <f t="shared" ca="1" si="24"/>
        <v>6.4883720930232563E-2</v>
      </c>
      <c r="X24" s="75"/>
      <c r="Y24" s="116"/>
      <c r="Z24" s="99" t="s">
        <v>66</v>
      </c>
      <c r="AA24" s="85"/>
      <c r="AB24" s="112">
        <f>Proposition!T$24*4+Proposition!T$29+Proposition!T$31+Proposition!T$43</f>
        <v>-1</v>
      </c>
      <c r="AC24" s="112">
        <f>Proposition!T$24*3+Proposition!T$29+Proposition!T$31+Proposition!T$35+Proposition!T$40+Proposition!T$42</f>
        <v>4</v>
      </c>
      <c r="AD24" s="85">
        <f>Proposition!T$24+Proposition!T$31+Proposition!T$42</f>
        <v>3</v>
      </c>
      <c r="AE24" s="85">
        <f>Proposition!T$24*3+Proposition!T$26+Proposition!T$28+Proposition!T$31+Proposition!T$37</f>
        <v>2</v>
      </c>
      <c r="AF24" s="85"/>
      <c r="AG24" s="85">
        <f>Proposition!T$24*3+Proposition!T$26+Proposition!T$29+Proposition!T$31+Proposition!T$41</f>
        <v>5</v>
      </c>
      <c r="AH24" s="85">
        <f>Proposition!T$26+Proposition!T$29+Proposition!T$31</f>
        <v>6</v>
      </c>
      <c r="AI24" s="85">
        <f>Proposition!T$24+Proposition!T$28+Proposition!T$31+Proposition!T$34</f>
        <v>2</v>
      </c>
      <c r="AJ24" s="85">
        <f>Proposition!T$26+Proposition!T$29+Proposition!T$31+Proposition!T$41</f>
        <v>8</v>
      </c>
      <c r="AK24" s="85">
        <f>Proposition!T$24+Proposition!T$28+Proposition!T$31+Proposition!T$34</f>
        <v>2</v>
      </c>
      <c r="AL24" s="85">
        <f>Proposition!T$24+Proposition!T$26+Proposition!T$28+Proposition!T$31</f>
        <v>2</v>
      </c>
      <c r="AM24" s="99">
        <f ca="1">SUM(AB24-MIN(AB24:AL24),AC24-MIN(AB24:AL24),AD24-MIN(AB24:AL24),AE24-MIN(AB24:AL24),AG24-MIN(AB24:AL24),AH24-MIN(AB24:AL24),AI24-MIN(AB24:AL24),AJ24-MIN(AB24:AL24),AK24-MIN(AB24:AL24),AL24-MIN(AB24:AL24))+((L24*SUM(AB24-MIN(AB24:AL24),AC24-MIN(AB24:AL24),AD24-MIN(AB24:AL24),AE24-MIN(AB24:AL24),AG24-MIN(AB24:AL24),AH24-MIN(AB24:AL24),AI24-MIN(AB24:AL24),AJ24-MIN(AB24:AL24),AK24-MIN(AB24:AL24),AL24-MIN(AB24:AL24)))/(1-L24))</f>
        <v>46.236559139784944</v>
      </c>
    </row>
    <row r="25" spans="1:39" x14ac:dyDescent="0.25">
      <c r="J25" s="87">
        <f t="shared" ca="1" si="3"/>
        <v>1.0000000000000002</v>
      </c>
      <c r="K25" s="46" t="s">
        <v>68</v>
      </c>
      <c r="L25" s="4">
        <f t="shared" ca="1" si="16"/>
        <v>0.06</v>
      </c>
      <c r="M25" s="107">
        <f t="shared" ca="1" si="17"/>
        <v>4.4761904761904767E-2</v>
      </c>
      <c r="N25" s="107">
        <f t="shared" ca="1" si="19"/>
        <v>4.4761904761904767E-2</v>
      </c>
      <c r="O25" s="4">
        <f t="shared" ca="1" si="21"/>
        <v>0</v>
      </c>
      <c r="P25" s="4">
        <f t="shared" ca="1" si="23"/>
        <v>0.13428571428571429</v>
      </c>
      <c r="Q25" s="4">
        <f t="shared" ref="Q25:Q30" ca="1" si="25">(AF25-MIN($AB25:$AL25))/$AM25</f>
        <v>8.9523809523809533E-2</v>
      </c>
      <c r="R25" s="71"/>
      <c r="S25" s="4">
        <f ca="1">(AH25-MIN($AB25:$AL25))/$AM25</f>
        <v>6.7142857142857143E-2</v>
      </c>
      <c r="T25" s="4">
        <f ca="1">(AI25-MIN($AB25:$AL25))/$AM25</f>
        <v>0.17904761904761907</v>
      </c>
      <c r="U25" s="4">
        <f ca="1">(AJ25-MIN($AB25:$AL25))/$AM25</f>
        <v>0.11190476190476191</v>
      </c>
      <c r="V25" s="4">
        <f ca="1">(AK25-MIN($AB25:$AL25))/$AM25</f>
        <v>0.17904761904761907</v>
      </c>
      <c r="W25" s="4">
        <f ca="1">(AL25-MIN($AB25:$AL25))/$AM25</f>
        <v>8.9523809523809533E-2</v>
      </c>
      <c r="X25" s="75"/>
      <c r="Y25" s="116"/>
      <c r="Z25" s="99" t="s">
        <v>68</v>
      </c>
      <c r="AA25" s="85"/>
      <c r="AB25" s="112">
        <f>Proposition!T$24+Proposition!T$26+Proposition!T$28+Proposition!T$31+Proposition!T$43</f>
        <v>1</v>
      </c>
      <c r="AC25" s="112">
        <f>Proposition!T$24*2+Proposition!T$25+Proposition!T$28+Proposition!T$31+Proposition!T$34+Proposition!T$40+Proposition!T$42</f>
        <v>1</v>
      </c>
      <c r="AD25" s="85">
        <f>Proposition!T$24*2+Proposition!T$30+Proposition!T$42</f>
        <v>-1</v>
      </c>
      <c r="AE25" s="85">
        <f>Proposition!T$24+Proposition!T$29+Proposition!T$31+Proposition!T$37</f>
        <v>5</v>
      </c>
      <c r="AF25" s="85">
        <f>Proposition!T$24*3+Proposition!T$26+Proposition!T$29+Proposition!T$31</f>
        <v>3</v>
      </c>
      <c r="AG25" s="85"/>
      <c r="AH25" s="85">
        <f>Proposition!T$27+Proposition!T$28+Proposition!T$31</f>
        <v>2</v>
      </c>
      <c r="AI25" s="85">
        <f>Proposition!T$27+Proposition!T$29+Proposition!T$31+Proposition!T$35</f>
        <v>7</v>
      </c>
      <c r="AJ25" s="85">
        <f>Proposition!T$27+Proposition!T$28+Proposition!T$31+Proposition!T$41</f>
        <v>4</v>
      </c>
      <c r="AK25" s="85">
        <f>Proposition!T$27+Proposition!T$29+Proposition!T$31+Proposition!T$35</f>
        <v>7</v>
      </c>
      <c r="AL25" s="85">
        <f>Proposition!T$24+Proposition!T$29+Proposition!T$31</f>
        <v>3</v>
      </c>
      <c r="AM25" s="99">
        <f ca="1">SUM(AB25-MIN(AB25:AL25),AC25-MIN(AB25:AL25),AD25-MIN(AB25:AL25),AE25-MIN(AB25:AL25),AF25-MIN(AB25:AL25),AH25-MIN(AB25:AL25),AI25-MIN(AB25:AL25),AJ25-MIN(AB25:AL25),AK25-MIN(AB25:AL25),AL25-MIN(AB25:AL25))+((L25*SUM(AB25-MIN(AB25:AL25),AC25-MIN(AB25:AL25),AD25-MIN(AB25:AL25),AE25-MIN(AB25:AL25),AF25-MIN(AB25:AL25),AH25-MIN(AB25:AL25),AI25-MIN(AB25:AL25),AJ25-MIN(AB25:AL25),AK25-MIN(AB25:AL25),AL25-MIN(AB25:AL25)))/(1-L25))</f>
        <v>44.680851063829785</v>
      </c>
    </row>
    <row r="26" spans="1:39" x14ac:dyDescent="0.25">
      <c r="J26" s="87">
        <f t="shared" ca="1" si="3"/>
        <v>1</v>
      </c>
      <c r="K26" s="46" t="s">
        <v>70</v>
      </c>
      <c r="L26" s="4">
        <f t="shared" ca="1" si="16"/>
        <v>0.09</v>
      </c>
      <c r="M26" s="107">
        <f t="shared" ca="1" si="17"/>
        <v>0</v>
      </c>
      <c r="N26" s="107">
        <f t="shared" ca="1" si="19"/>
        <v>9.3333333333333338E-2</v>
      </c>
      <c r="O26" s="4">
        <f t="shared" ca="1" si="21"/>
        <v>9.3333333333333338E-2</v>
      </c>
      <c r="P26" s="4">
        <f t="shared" ca="1" si="23"/>
        <v>0.16333333333333336</v>
      </c>
      <c r="Q26" s="4">
        <f t="shared" ca="1" si="25"/>
        <v>0.11666666666666667</v>
      </c>
      <c r="R26" s="4">
        <f ca="1">(AG26-MIN($AB26:$AL26))/$AM26</f>
        <v>7.0000000000000007E-2</v>
      </c>
      <c r="S26" s="71"/>
      <c r="T26" s="4">
        <f ca="1">(AI26-MIN($AB26:$AL26))/$AM26</f>
        <v>0.14000000000000001</v>
      </c>
      <c r="U26" s="4">
        <f ca="1">(AJ26-MIN($AB26:$AL26))/$AM26</f>
        <v>7.0000000000000007E-2</v>
      </c>
      <c r="V26" s="4">
        <f ca="1">(AK26-MIN($AB26:$AL26))/$AM26</f>
        <v>0.14000000000000001</v>
      </c>
      <c r="W26" s="4">
        <f ca="1">(AL26-MIN($AB26:$AL26))/$AM26</f>
        <v>2.3333333333333334E-2</v>
      </c>
      <c r="X26" s="75"/>
      <c r="Y26" s="116"/>
      <c r="Z26" s="99" t="s">
        <v>70</v>
      </c>
      <c r="AA26" s="85"/>
      <c r="AB26" s="112">
        <f>Proposition!T$27+Proposition!T$28+Proposition!T$31+Proposition!T$43</f>
        <v>1</v>
      </c>
      <c r="AC26" s="112">
        <f>Proposition!T$27+Proposition!T$28+Proposition!T$31+Proposition!T$34+Proposition!T$40+Proposition!T$42</f>
        <v>5</v>
      </c>
      <c r="AD26" s="85">
        <f>Proposition!T$27+Proposition!T$31+Proposition!T$42</f>
        <v>5</v>
      </c>
      <c r="AE26" s="85">
        <f>Proposition!T$26+Proposition!T$29+Proposition!T$31+Proposition!T$37</f>
        <v>8</v>
      </c>
      <c r="AF26" s="85">
        <f>Proposition!T$26+Proposition!T$29+Proposition!T$31</f>
        <v>6</v>
      </c>
      <c r="AG26" s="85">
        <f>Proposition!T$27+Proposition!T$28+Proposition!T$31+Proposition!T$41</f>
        <v>4</v>
      </c>
      <c r="AH26" s="85"/>
      <c r="AI26" s="85">
        <f>Proposition!T$27+Proposition!T$29+Proposition!T$31+Proposition!T$35</f>
        <v>7</v>
      </c>
      <c r="AJ26" s="85">
        <f>Proposition!T$27+Proposition!T$28+Proposition!T$31+Proposition!T$41</f>
        <v>4</v>
      </c>
      <c r="AK26" s="85">
        <f>Proposition!T$27+Proposition!T$29+Proposition!T$31+Proposition!T$35</f>
        <v>7</v>
      </c>
      <c r="AL26" s="85">
        <f>Proposition!T$24*2+Proposition!T$29+Proposition!T$31</f>
        <v>2</v>
      </c>
      <c r="AM26" s="99">
        <f ca="1">SUM(AB26-MIN(AB26:AL26),AC26-MIN(AB26:AL26),AD26-MIN(AB26:AL26),AE26-MIN(AB26:AL26),AF26-MIN(AB26:AL26),AG26-MIN(AB26:AL26),AI26-MIN(AB26:AL26),AJ26-MIN(AB26:AL26),AK26-MIN(AB26:AL26),AL26-MIN(AB26:AL26))+((L26*SUM(AB26-MIN(AB26:AL26),AC26-MIN(AB26:AL26),AD26-MIN(AB26:AL26),AE26-MIN(AB26:AL26),AF26-MIN(AB26:AL26),AG26-MIN(AB26:AL26),AI26-MIN(AB26:AL26),AJ26-MIN(AB26:AL26),AK26-MIN(AB26:AL26),AL26-MIN(AB26:AL26)))/(1-L26))</f>
        <v>42.857142857142854</v>
      </c>
    </row>
    <row r="27" spans="1:39" x14ac:dyDescent="0.25">
      <c r="J27" s="87">
        <f t="shared" ca="1" si="3"/>
        <v>1.0000000000000002</v>
      </c>
      <c r="K27" s="45" t="s">
        <v>72</v>
      </c>
      <c r="L27" s="4">
        <f t="shared" ca="1" si="16"/>
        <v>0.09</v>
      </c>
      <c r="M27" s="107">
        <f t="shared" ca="1" si="17"/>
        <v>9.231884057971014E-2</v>
      </c>
      <c r="N27" s="107">
        <f t="shared" ca="1" si="19"/>
        <v>0.14507246376811594</v>
      </c>
      <c r="O27" s="4">
        <f t="shared" ca="1" si="21"/>
        <v>0.1582608695652174</v>
      </c>
      <c r="P27" s="4">
        <f t="shared" ca="1" si="23"/>
        <v>6.5942028985507245E-2</v>
      </c>
      <c r="Q27" s="4">
        <f t="shared" ca="1" si="25"/>
        <v>3.956521739130435E-2</v>
      </c>
      <c r="R27" s="4">
        <f ca="1">(AG27-MIN($AB27:$AL27))/$AM27</f>
        <v>0.13188405797101449</v>
      </c>
      <c r="S27" s="4">
        <f ca="1">(AH27-MIN($AB27:$AL27))/$AM27</f>
        <v>0.10550724637681159</v>
      </c>
      <c r="T27" s="71"/>
      <c r="U27" s="4">
        <f ca="1">(AJ27-MIN($AB27:$AL27))/$AM27</f>
        <v>0.13188405797101449</v>
      </c>
      <c r="V27" s="4">
        <f ca="1">(AK27-MIN($AB27:$AL27))/$AM27</f>
        <v>0</v>
      </c>
      <c r="W27" s="4">
        <f ca="1">(AL27-MIN($AB27:$AL27))/$AM27</f>
        <v>3.956521739130435E-2</v>
      </c>
      <c r="X27" s="75"/>
      <c r="Y27" s="116"/>
      <c r="Z27" s="99" t="s">
        <v>72</v>
      </c>
      <c r="AA27" s="85"/>
      <c r="AB27" s="112">
        <f>Proposition!T$24+Proposition!T$29+Proposition!T$31+Proposition!T$33+Proposition!T$43</f>
        <v>4</v>
      </c>
      <c r="AC27" s="112">
        <f>Proposition!T$24+Proposition!T$29+Proposition!T$31+Proposition!T$33+Proposition!T$36+Proposition!T$40+Proposition!T$42</f>
        <v>8</v>
      </c>
      <c r="AD27" s="85">
        <f>Proposition!T$27+Proposition!T$29+Proposition!T$31+Proposition!T$33+Proposition!T$42</f>
        <v>9</v>
      </c>
      <c r="AE27" s="85">
        <f>Proposition!T$24+Proposition!T$28+Proposition!T$31+Proposition!T$37</f>
        <v>2</v>
      </c>
      <c r="AF27" s="85">
        <f>Proposition!T$24+Proposition!T$28+Proposition!T$31</f>
        <v>0</v>
      </c>
      <c r="AG27" s="85">
        <f>Proposition!T$27+Proposition!T$29+Proposition!T$31+Proposition!T$41</f>
        <v>7</v>
      </c>
      <c r="AH27" s="85">
        <f>Proposition!T$27+Proposition!T$29+Proposition!T$31</f>
        <v>5</v>
      </c>
      <c r="AI27" s="85"/>
      <c r="AJ27" s="85">
        <f>Proposition!T$27+Proposition!T$29+Proposition!T$31+Proposition!T$41</f>
        <v>7</v>
      </c>
      <c r="AK27" s="85">
        <f>Proposition!T$24*2+Proposition!T$25+Proposition!T$28+Proposition!T$30+Proposition!T$36</f>
        <v>-3</v>
      </c>
      <c r="AL27" s="85">
        <f>Proposition!T$24+Proposition!T$28+Proposition!T$31</f>
        <v>0</v>
      </c>
      <c r="AM27" s="99">
        <f ca="1">SUM(AB27-MIN(AB27:AL27),AC27-MIN(AB27:AL27),AD27-MIN(AB27:AL27),AE27-MIN(AB27:AL27),AF27-MIN(AB27:AL27),AG27-MIN(AB27:AL27),AH27-MIN(AB27:AL27),AJ27-MIN(AB27:AL27),AK27-MIN(AB27:AL27),AL27-MIN(AB27:AL27))+((L27*SUM(AB27-MIN(AB27:AL27),AC27-MIN(AB27:AL27),AD27-MIN(AB27:AL27),AE27-MIN(AB27:AL27),AF27-MIN(AB27:AL27),AG27-MIN(AB27:AL27),AH27-MIN(AB27:AL27),AJ27-MIN(AB27:AL27),AK27-MIN(AB27:AL27),AL27-MIN(AB27:AL27)))/(1-L27))</f>
        <v>75.824175824175825</v>
      </c>
    </row>
    <row r="28" spans="1:39" x14ac:dyDescent="0.25">
      <c r="J28" s="87">
        <f t="shared" ca="1" si="3"/>
        <v>0.99999999999999989</v>
      </c>
      <c r="K28" s="46" t="s">
        <v>74</v>
      </c>
      <c r="L28" s="4">
        <f t="shared" ca="1" si="16"/>
        <v>7.0000000000000007E-2</v>
      </c>
      <c r="M28" s="107">
        <f t="shared" ca="1" si="17"/>
        <v>0</v>
      </c>
      <c r="N28" s="107">
        <f t="shared" ca="1" si="19"/>
        <v>3.875E-2</v>
      </c>
      <c r="O28" s="4">
        <f t="shared" ca="1" si="21"/>
        <v>0.11624999999999999</v>
      </c>
      <c r="P28" s="4">
        <f t="shared" ca="1" si="23"/>
        <v>0.11624999999999999</v>
      </c>
      <c r="Q28" s="4">
        <f t="shared" ca="1" si="25"/>
        <v>0.155</v>
      </c>
      <c r="R28" s="4">
        <f ca="1">(AG28-MIN($AB28:$AL28))/$AM28</f>
        <v>7.7499999999999999E-2</v>
      </c>
      <c r="S28" s="4">
        <f ca="1">(AH28-MIN($AB28:$AL28))/$AM28</f>
        <v>0</v>
      </c>
      <c r="T28" s="4">
        <f ca="1">(AI28-MIN($AB28:$AL28))/$AM28</f>
        <v>0.19374999999999998</v>
      </c>
      <c r="U28" s="71"/>
      <c r="V28" s="4">
        <f ca="1">(AK28-MIN($AB28:$AL28))/$AM28</f>
        <v>0.19374999999999998</v>
      </c>
      <c r="W28" s="4">
        <f ca="1">(AL28-MIN($AB28:$AL28))/$AM28</f>
        <v>3.875E-2</v>
      </c>
      <c r="X28" s="75"/>
      <c r="Y28" s="116"/>
      <c r="Z28" s="99" t="s">
        <v>74</v>
      </c>
      <c r="AA28" s="85"/>
      <c r="AB28" s="112">
        <f>Proposition!T$26+Proposition!T$28+Proposition!T$31+Proposition!T$43</f>
        <v>2</v>
      </c>
      <c r="AC28" s="112">
        <f>Proposition!T$27+Proposition!T$28+Proposition!T$34+Proposition!T$40+Proposition!T$42</f>
        <v>3</v>
      </c>
      <c r="AD28" s="85">
        <f>Proposition!T$27+Proposition!T$31+Proposition!T$42</f>
        <v>5</v>
      </c>
      <c r="AE28" s="85">
        <f>Proposition!T$24+Proposition!T$29+Proposition!T$31+Proposition!T$37</f>
        <v>5</v>
      </c>
      <c r="AF28" s="85">
        <f>Proposition!T$26+Proposition!T$29+Proposition!T$31</f>
        <v>6</v>
      </c>
      <c r="AG28" s="85">
        <f>Proposition!T$27+Proposition!T$28+Proposition!T$31+Proposition!T$41</f>
        <v>4</v>
      </c>
      <c r="AH28" s="85">
        <f>Proposition!T$27+Proposition!T$28+Proposition!T$31</f>
        <v>2</v>
      </c>
      <c r="AI28" s="85">
        <f>Proposition!T$27+Proposition!T$29+Proposition!T$31+Proposition!T$35</f>
        <v>7</v>
      </c>
      <c r="AJ28" s="85"/>
      <c r="AK28" s="85">
        <f>Proposition!T$27+Proposition!T$29+Proposition!T$31+Proposition!T$35</f>
        <v>7</v>
      </c>
      <c r="AL28" s="85">
        <f>Proposition!T$24+Proposition!T$29+Proposition!T$31</f>
        <v>3</v>
      </c>
      <c r="AM28" s="99">
        <f ca="1">SUM(AB28-MIN(AB28:AL28),AC28-MIN(AB28:AL28),AD28-MIN(AB28:AL28),AE28-MIN(AB28:AL28),AF28-MIN(AB28:AL28),AG28-MIN(AB28:AL28),AH28-MIN(AB28:AL28),AI28-MIN(AB28:AL28),AK28-MIN(AB28:AL28),AL28-MIN(AB28:AL28))+((L28*SUM(AB28-MIN(AB28:AL28),AC28-MIN(AB28:AL28),AD28-MIN(AB28:AL28),AE28-MIN(AB28:AL28),AF28-MIN(AB28:AL28),AG28-MIN(AB28:AL28),AH28-MIN(AB28:AL28),AI28-MIN(AB28:AL28),AK28-MIN(AB28:AL28),AL28-MIN(AB28:AL28)))/(1-L28))</f>
        <v>25.806451612903228</v>
      </c>
    </row>
    <row r="29" spans="1:39" x14ac:dyDescent="0.25">
      <c r="J29" s="87">
        <f t="shared" ca="1" si="3"/>
        <v>1</v>
      </c>
      <c r="K29" s="45" t="s">
        <v>76</v>
      </c>
      <c r="L29" s="4">
        <f t="shared" ca="1" si="16"/>
        <v>0.06</v>
      </c>
      <c r="M29" s="107">
        <f t="shared" ca="1" si="17"/>
        <v>7.4603174603174602E-2</v>
      </c>
      <c r="N29" s="107">
        <f t="shared" ca="1" si="19"/>
        <v>0.13428571428571429</v>
      </c>
      <c r="O29" s="4">
        <f t="shared" ca="1" si="21"/>
        <v>0.1492063492063492</v>
      </c>
      <c r="P29" s="4">
        <f t="shared" ca="1" si="23"/>
        <v>7.4603174603174602E-2</v>
      </c>
      <c r="Q29" s="4">
        <f t="shared" ca="1" si="25"/>
        <v>4.476190476190476E-2</v>
      </c>
      <c r="R29" s="4">
        <f ca="1">(AG29-MIN($AB29:$AL29))/$AM29</f>
        <v>0.1492063492063492</v>
      </c>
      <c r="S29" s="4">
        <f ca="1">(AH29-MIN($AB29:$AL29))/$AM29</f>
        <v>0.11936507936507937</v>
      </c>
      <c r="T29" s="4">
        <f ca="1">(AI29-MIN($AB29:$AL29))/$AM29</f>
        <v>0</v>
      </c>
      <c r="U29" s="4">
        <f ca="1">(AJ29-MIN($AB29:$AL29))/$AM29</f>
        <v>0.1492063492063492</v>
      </c>
      <c r="V29" s="71"/>
      <c r="W29" s="4">
        <f ca="1">(AL29-MIN($AB29:$AL29))/$AM29</f>
        <v>4.476190476190476E-2</v>
      </c>
      <c r="X29" s="75"/>
      <c r="Y29" s="116"/>
      <c r="Z29" s="99" t="s">
        <v>76</v>
      </c>
      <c r="AA29" s="85"/>
      <c r="AB29" s="112">
        <f>Proposition!T$24+Proposition!T$29+Proposition!T$31+Proposition!T$43</f>
        <v>2</v>
      </c>
      <c r="AC29" s="112">
        <f>Proposition!T$24+Proposition!T$29+Proposition!T$31+Proposition!T$36+Proposition!T$40+Proposition!T$42</f>
        <v>6</v>
      </c>
      <c r="AD29" s="85">
        <f>Proposition!T$27+Proposition!T$29+Proposition!T$31+Proposition!T$42</f>
        <v>7</v>
      </c>
      <c r="AE29" s="85">
        <f>Proposition!T$24+Proposition!T$28+Proposition!T$31+Proposition!T$37</f>
        <v>2</v>
      </c>
      <c r="AF29" s="85">
        <f>Proposition!T$24+Proposition!T$28+Proposition!T$31</f>
        <v>0</v>
      </c>
      <c r="AG29" s="85">
        <f>Proposition!T$27+Proposition!T$29+Proposition!T$31+Proposition!T$41</f>
        <v>7</v>
      </c>
      <c r="AH29" s="85">
        <f>Proposition!T$27+Proposition!T$29+Proposition!T$31</f>
        <v>5</v>
      </c>
      <c r="AI29" s="85">
        <f>Proposition!T$24*2+Proposition!T$25+Proposition!T$28+Proposition!T$30+Proposition!T$36</f>
        <v>-3</v>
      </c>
      <c r="AJ29" s="85">
        <f>Proposition!T$27+Proposition!T$29+Proposition!T$31+Proposition!T$41</f>
        <v>7</v>
      </c>
      <c r="AK29" s="85"/>
      <c r="AL29" s="85">
        <f>Proposition!T$24+Proposition!T$28+Proposition!T$31</f>
        <v>0</v>
      </c>
      <c r="AM29" s="99">
        <f ca="1">SUM(AB29-MIN(AB29:AL29),AC29-MIN(AB29:AL29),AD29-MIN(AB29:AL29),AE29-MIN(AB29:AL29),AF29-MIN(AB29:AL29),AG29-MIN(AB29:AL29),AH29-MIN(AB29:AL29),AI29-MIN(AB29:AL29),AJ29-MIN(AB29:AL29),AL29-MIN(AB29:AL29))+((L29*SUM(AB29-MIN(AB29:AL29),AC29-MIN(AB29:AL29),AD29-MIN(AB29:AL29),AE29-MIN(AB29:AL29),AF29-MIN(AB29:AL29),AG29-MIN(AB29:AL29),AH29-MIN(AB29:AL29),AI29-MIN(AB29:AL29),AJ29-MIN(AB29:AL29),AL29-MIN(AB29:AL29)))/(1-L29))</f>
        <v>67.021276595744681</v>
      </c>
    </row>
    <row r="30" spans="1:39" x14ac:dyDescent="0.25">
      <c r="J30" s="87">
        <f t="shared" ca="1" si="3"/>
        <v>1</v>
      </c>
      <c r="K30" s="45" t="s">
        <v>78</v>
      </c>
      <c r="L30" s="4">
        <f t="shared" ca="1" si="16"/>
        <v>0.08</v>
      </c>
      <c r="M30" s="107">
        <f t="shared" ca="1" si="17"/>
        <v>0.12545454545454546</v>
      </c>
      <c r="N30" s="107">
        <f t="shared" ca="1" si="19"/>
        <v>0.25090909090909091</v>
      </c>
      <c r="O30" s="4">
        <f t="shared" ca="1" si="21"/>
        <v>0.20909090909090908</v>
      </c>
      <c r="P30" s="4">
        <f t="shared" ca="1" si="23"/>
        <v>8.3636363636363634E-2</v>
      </c>
      <c r="Q30" s="4">
        <f t="shared" ca="1" si="25"/>
        <v>0</v>
      </c>
      <c r="R30" s="4">
        <f ca="1">(AG30-MIN($AB30:$AL30))/$AM30</f>
        <v>0.12545454545454546</v>
      </c>
      <c r="S30" s="4">
        <f ca="1">(AH30-MIN($AB30:$AL30))/$AM30</f>
        <v>0</v>
      </c>
      <c r="T30" s="4">
        <f ca="1">(AI30-MIN($AB30:$AL30))/$AM30</f>
        <v>0</v>
      </c>
      <c r="U30" s="4">
        <f ca="1">(AJ30-MIN($AB30:$AL30))/$AM30</f>
        <v>0.12545454545454546</v>
      </c>
      <c r="V30" s="4">
        <f ca="1">(AK30-MIN($AB30:$AL30))/$AM30</f>
        <v>0</v>
      </c>
      <c r="W30" s="71"/>
      <c r="X30" s="75"/>
      <c r="Y30" s="116"/>
      <c r="Z30" s="99" t="s">
        <v>78</v>
      </c>
      <c r="AA30" s="85"/>
      <c r="AB30" s="112">
        <f>Proposition!T$26+Proposition!T$29+Proposition!T$31+Proposition!T$43</f>
        <v>5</v>
      </c>
      <c r="AC30" s="112">
        <f>Proposition!T$27+Proposition!T$29+Proposition!T$31+Proposition!T$35+Proposition!T$40+Proposition!T$42</f>
        <v>8</v>
      </c>
      <c r="AD30" s="85">
        <f>Proposition!T$27+Proposition!T$29+Proposition!T$31+Proposition!T$42</f>
        <v>7</v>
      </c>
      <c r="AE30" s="85">
        <f>Proposition!T$24+Proposition!T$26+Proposition!T$28+Proposition!T$31+Proposition!T$37</f>
        <v>4</v>
      </c>
      <c r="AF30" s="85">
        <f>Proposition!T$24+Proposition!T$26+Proposition!T$28+Proposition!T$31</f>
        <v>2</v>
      </c>
      <c r="AG30" s="85">
        <f>Proposition!T$24+Proposition!T$29+Proposition!T$31+Proposition!T$41</f>
        <v>5</v>
      </c>
      <c r="AH30" s="85">
        <f>Proposition!T$24*2+Proposition!T$29+Proposition!T$31</f>
        <v>2</v>
      </c>
      <c r="AI30" s="85">
        <f>Proposition!T$24+Proposition!T$28+Proposition!T$31+Proposition!T$34</f>
        <v>2</v>
      </c>
      <c r="AJ30" s="85">
        <f>Proposition!T$24+Proposition!T$29+Proposition!T$31+Proposition!T$41</f>
        <v>5</v>
      </c>
      <c r="AK30" s="85">
        <f>Proposition!T$24+Proposition!T$28+Proposition!T$31+Proposition!T$34</f>
        <v>2</v>
      </c>
      <c r="AL30" s="85"/>
      <c r="AM30" s="99">
        <f ca="1">SUM(AB30-MIN(AB30:AL30),AC30-MIN(AB30:AL30),AD30-MIN(AB30:AL30),AE30-MIN(AB30:AL30),AF30-MIN(AB30:AL30),AG30-MIN(AB30:AL30),AH30-MIN(AB30:AL30),AI30-MIN(AB30:AL30),AJ30-MIN(AB30:AL30),AK30-MIN(AB30:AL30))+((L30*SUM(AB30-MIN(AB30:AL30),AC30-MIN(AB30:AL30),AD30-MIN(AB30:AL30),AE30-MIN(AB30:AL30),AF30-MIN(AB30:AL30),AG30-MIN(AB30:AL30),AH30-MIN(AB30:AL30),AI30-MIN(AB30:AL30),AJ30-MIN(AB30:AL30),AK30-MIN(AB30:AL30)))/(1-L30))</f>
        <v>23.913043478260871</v>
      </c>
    </row>
    <row r="31" spans="1:39" x14ac:dyDescent="0.25">
      <c r="J31" s="87">
        <f t="shared" ca="1" si="3"/>
        <v>0.26</v>
      </c>
      <c r="K31" s="74" t="s">
        <v>135</v>
      </c>
      <c r="L31" s="4"/>
      <c r="M31" s="4">
        <f ca="1">RANDBETWEEN(1,3)/100</f>
        <v>0.01</v>
      </c>
      <c r="N31" s="4">
        <f t="shared" ref="N31:W32" ca="1" si="26">RANDBETWEEN(1,3)/100</f>
        <v>0.03</v>
      </c>
      <c r="O31" s="4">
        <f ca="1">RANDBETWEEN(1,3)/100+0.03</f>
        <v>0.06</v>
      </c>
      <c r="P31" s="4">
        <f t="shared" ca="1" si="26"/>
        <v>0.02</v>
      </c>
      <c r="Q31" s="4">
        <f t="shared" ca="1" si="26"/>
        <v>0.03</v>
      </c>
      <c r="R31" s="4">
        <f t="shared" ca="1" si="26"/>
        <v>0.02</v>
      </c>
      <c r="S31" s="4">
        <f t="shared" ca="1" si="26"/>
        <v>0.01</v>
      </c>
      <c r="T31" s="4">
        <f t="shared" ca="1" si="26"/>
        <v>0.03</v>
      </c>
      <c r="U31" s="4">
        <f t="shared" ca="1" si="26"/>
        <v>0.02</v>
      </c>
      <c r="V31" s="4">
        <f t="shared" ca="1" si="26"/>
        <v>0.01</v>
      </c>
      <c r="W31" s="4">
        <f t="shared" ca="1" si="26"/>
        <v>0.02</v>
      </c>
      <c r="X31" s="75"/>
      <c r="Y31" s="75"/>
      <c r="Z31" s="75"/>
      <c r="AA31" s="75"/>
      <c r="AB31" s="75"/>
    </row>
    <row r="32" spans="1:39" x14ac:dyDescent="0.25">
      <c r="J32" s="87">
        <f t="shared" ca="1" si="3"/>
        <v>0.27999999999999997</v>
      </c>
      <c r="K32" s="74" t="s">
        <v>133</v>
      </c>
      <c r="L32" s="4"/>
      <c r="M32" s="4">
        <f ca="1">RANDBETWEEN(1,3)/100</f>
        <v>0.01</v>
      </c>
      <c r="N32" s="4">
        <f t="shared" ca="1" si="26"/>
        <v>0.02</v>
      </c>
      <c r="O32" s="4">
        <f ca="1">RANDBETWEEN(1,3)/100+0.03</f>
        <v>0.06</v>
      </c>
      <c r="P32" s="4">
        <f t="shared" ca="1" si="26"/>
        <v>0.03</v>
      </c>
      <c r="Q32" s="4">
        <f t="shared" ca="1" si="26"/>
        <v>0.02</v>
      </c>
      <c r="R32" s="4">
        <f t="shared" ca="1" si="26"/>
        <v>0.03</v>
      </c>
      <c r="S32" s="4">
        <f t="shared" ca="1" si="26"/>
        <v>0.03</v>
      </c>
      <c r="T32" s="4">
        <f t="shared" ca="1" si="26"/>
        <v>0.02</v>
      </c>
      <c r="U32" s="4">
        <f t="shared" ca="1" si="26"/>
        <v>0.03</v>
      </c>
      <c r="V32" s="4">
        <f t="shared" ca="1" si="26"/>
        <v>0.02</v>
      </c>
      <c r="W32" s="4">
        <f t="shared" ca="1" si="26"/>
        <v>0.01</v>
      </c>
      <c r="X32" s="75"/>
      <c r="Y32" s="75"/>
      <c r="Z32" s="75"/>
      <c r="AA32" s="75"/>
      <c r="AB32" s="75"/>
    </row>
    <row r="33" spans="10:28" x14ac:dyDescent="0.25">
      <c r="J33" s="87"/>
      <c r="L33" s="4"/>
      <c r="M33" s="4"/>
      <c r="N33" s="4"/>
      <c r="O33" s="4"/>
      <c r="P33" s="4"/>
      <c r="Q33" s="4"/>
      <c r="R33" s="4"/>
      <c r="S33" s="4"/>
      <c r="T33" s="4"/>
      <c r="U33" s="4"/>
      <c r="V33" s="4"/>
      <c r="W33" s="4"/>
      <c r="X33" s="75"/>
      <c r="Y33" s="75"/>
      <c r="Z33" s="75"/>
      <c r="AA33" s="75"/>
      <c r="AB33" s="75"/>
    </row>
    <row r="34" spans="10:28" x14ac:dyDescent="0.25">
      <c r="J34" s="87"/>
      <c r="L34" s="4"/>
      <c r="M34" s="4"/>
      <c r="N34" s="4"/>
      <c r="O34" s="4"/>
      <c r="P34" s="4"/>
      <c r="Q34" s="4"/>
      <c r="R34" s="4"/>
      <c r="S34" s="4"/>
      <c r="T34" s="4"/>
      <c r="U34" s="4"/>
      <c r="V34" s="4"/>
      <c r="W34" s="4"/>
      <c r="X34" s="75"/>
      <c r="Y34" s="75"/>
      <c r="Z34" s="75"/>
      <c r="AA34" s="75"/>
      <c r="AB34" s="75"/>
    </row>
    <row r="35" spans="10:28" x14ac:dyDescent="0.25">
      <c r="J35" s="87"/>
      <c r="L35" s="4"/>
      <c r="M35" s="4"/>
      <c r="N35" s="4"/>
      <c r="O35" s="4"/>
      <c r="P35" s="4"/>
      <c r="Q35" s="4"/>
      <c r="R35" s="4"/>
      <c r="S35" s="4"/>
      <c r="T35" s="4"/>
      <c r="U35" s="4"/>
      <c r="V35" s="4"/>
      <c r="W35" s="4"/>
      <c r="X35" s="75"/>
      <c r="Y35" s="75"/>
      <c r="Z35" s="75"/>
      <c r="AA35" s="75"/>
      <c r="AB35" s="75"/>
    </row>
    <row r="36" spans="10:28" x14ac:dyDescent="0.25">
      <c r="J36" s="87"/>
      <c r="L36" s="4"/>
      <c r="M36" s="4"/>
      <c r="N36" s="4"/>
      <c r="O36" s="4"/>
      <c r="P36" s="4"/>
      <c r="Q36" s="4"/>
      <c r="R36" s="4"/>
      <c r="S36" s="4"/>
      <c r="T36" s="4"/>
      <c r="U36" s="4"/>
      <c r="V36" s="4"/>
      <c r="W36" s="4"/>
      <c r="X36" s="4"/>
      <c r="Y36" s="4"/>
      <c r="Z36" s="4"/>
      <c r="AA36" s="4"/>
      <c r="AB36" s="4"/>
    </row>
    <row r="37" spans="10:28" x14ac:dyDescent="0.25">
      <c r="J37" s="87"/>
      <c r="L37" s="4"/>
      <c r="M37" s="4"/>
      <c r="N37" s="4"/>
      <c r="O37" s="4"/>
      <c r="P37" s="4"/>
      <c r="Q37" s="4"/>
      <c r="R37" s="4"/>
      <c r="S37" s="4"/>
      <c r="T37" s="4"/>
      <c r="U37" s="4"/>
      <c r="V37" s="4"/>
      <c r="W37" s="4"/>
      <c r="X37" s="4"/>
      <c r="Y37" s="4"/>
      <c r="Z37" s="4"/>
      <c r="AA37" s="4"/>
      <c r="AB37" s="4"/>
    </row>
  </sheetData>
  <mergeCells count="1">
    <mergeCell ref="E2:F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Scrutin habituel</vt:lpstr>
      <vt:lpstr>Proposition</vt:lpstr>
      <vt:lpstr>Test 1995</vt:lpstr>
      <vt:lpstr>Test 2002</vt:lpstr>
      <vt:lpstr>Test 2007</vt:lpstr>
      <vt:lpstr>Test 2012</vt:lpstr>
      <vt:lpstr>Test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Joël</dc:creator>
  <cp:lastModifiedBy>User</cp:lastModifiedBy>
  <cp:lastPrinted>2022-04-08T01:30:56Z</cp:lastPrinted>
  <dcterms:created xsi:type="dcterms:W3CDTF">2015-06-05T18:19:34Z</dcterms:created>
  <dcterms:modified xsi:type="dcterms:W3CDTF">2022-11-09T12:53:19Z</dcterms:modified>
</cp:coreProperties>
</file>